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Compliance (Truesync _ 19.06.2025)\"/>
    </mc:Choice>
  </mc:AlternateContent>
  <xr:revisionPtr revIDLastSave="0" documentId="8_{442E9536-578D-43DB-88ED-DB3815A23778}" xr6:coauthVersionLast="47" xr6:coauthVersionMax="47" xr10:uidLastSave="{00000000-0000-0000-0000-000000000000}"/>
  <bookViews>
    <workbookView xWindow="-120" yWindow="-120" windowWidth="29040" windowHeight="15720" tabRatio="830" xr2:uid="{00000000-000D-0000-FFFF-FFFF00000000}"/>
  </bookViews>
  <sheets>
    <sheet name="One Year-Fixed Fees" sheetId="7" r:id="rId1"/>
    <sheet name="One Year-Hybrid Fees" sheetId="6" r:id="rId2"/>
    <sheet name="One Year- Variable Fees" sheetId="10" r:id="rId3"/>
    <sheet name="Multi Year- Hybrid Fees" sheetId="15"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15" l="1"/>
  <c r="A42" i="15" s="1"/>
  <c r="A43" i="15" s="1"/>
  <c r="A44" i="15" s="1"/>
  <c r="A45" i="15" s="1"/>
  <c r="A46" i="15" s="1"/>
  <c r="A47" i="15" s="1"/>
  <c r="A48" i="15" s="1"/>
  <c r="A49" i="15" s="1"/>
  <c r="A50" i="15" s="1"/>
  <c r="E12" i="15"/>
  <c r="B26" i="7"/>
  <c r="B27" i="7" s="1"/>
  <c r="B28" i="7" s="1"/>
  <c r="B29" i="7" s="1"/>
  <c r="B30" i="7" s="1"/>
  <c r="B39" i="10"/>
  <c r="B40" i="10" s="1"/>
  <c r="B41" i="10" s="1"/>
  <c r="B42" i="10" s="1"/>
  <c r="B43" i="10" s="1"/>
  <c r="B44" i="10" s="1"/>
  <c r="B45" i="10" s="1"/>
  <c r="B46" i="10" s="1"/>
  <c r="B47" i="10" s="1"/>
  <c r="B48" i="10" s="1"/>
  <c r="E13" i="15" l="1"/>
  <c r="E14" i="15" s="1"/>
  <c r="E24" i="15"/>
  <c r="E25" i="15"/>
  <c r="J12" i="10"/>
  <c r="J24" i="10" s="1"/>
  <c r="H12" i="10"/>
  <c r="H24" i="10" s="1"/>
  <c r="F12" i="10"/>
  <c r="F24" i="10" s="1"/>
  <c r="B31" i="7"/>
  <c r="B39" i="6"/>
  <c r="B40" i="6" s="1"/>
  <c r="B41" i="6" s="1"/>
  <c r="B42" i="6" s="1"/>
  <c r="B43" i="6" s="1"/>
  <c r="B44" i="6" s="1"/>
  <c r="B45" i="6" s="1"/>
  <c r="B46" i="6" s="1"/>
  <c r="B47" i="6" s="1"/>
  <c r="B48" i="6" s="1"/>
  <c r="E16" i="15" l="1"/>
  <c r="F25" i="10"/>
  <c r="J25" i="10"/>
  <c r="H25" i="10"/>
  <c r="H13" i="10"/>
  <c r="H14" i="10" s="1"/>
  <c r="H16" i="10" s="1"/>
  <c r="F13" i="10"/>
  <c r="F14" i="10" s="1"/>
  <c r="F16" i="10" s="1"/>
  <c r="J13" i="10"/>
  <c r="J14" i="10" s="1"/>
  <c r="J16" i="10" s="1"/>
  <c r="E20" i="15" l="1"/>
  <c r="E18" i="15"/>
  <c r="E19" i="15"/>
  <c r="J19" i="10"/>
  <c r="J18" i="10"/>
  <c r="F19" i="10"/>
  <c r="F18" i="10"/>
  <c r="H19" i="10"/>
  <c r="H18" i="10"/>
  <c r="E21" i="15" l="1"/>
  <c r="E23" i="15" s="1"/>
  <c r="J20" i="10"/>
  <c r="J21" i="10" s="1"/>
  <c r="J23" i="10" s="1"/>
  <c r="J35" i="10" s="1"/>
  <c r="H20" i="10"/>
  <c r="H21" i="10" s="1"/>
  <c r="H23" i="10" s="1"/>
  <c r="H35" i="10" s="1"/>
  <c r="F20" i="10"/>
  <c r="F21" i="10" s="1"/>
  <c r="F23" i="10" s="1"/>
  <c r="F35" i="10" s="1"/>
  <c r="J10" i="7"/>
  <c r="H10" i="7"/>
  <c r="F10" i="7"/>
  <c r="J12" i="6"/>
  <c r="J13" i="6" s="1"/>
  <c r="H12" i="6"/>
  <c r="H13" i="6" s="1"/>
  <c r="F12" i="6"/>
  <c r="F13" i="6" s="1"/>
  <c r="E27" i="15" l="1"/>
  <c r="E28" i="15" s="1"/>
  <c r="E29" i="15" s="1"/>
  <c r="E30" i="15" s="1"/>
  <c r="E36" i="15"/>
  <c r="G24" i="15" s="1"/>
  <c r="G25" i="15"/>
  <c r="F26" i="10"/>
  <c r="H26" i="10"/>
  <c r="J26" i="10"/>
  <c r="J11" i="7"/>
  <c r="J12" i="7" s="1"/>
  <c r="J14" i="7" s="1"/>
  <c r="J24" i="6"/>
  <c r="F24" i="6"/>
  <c r="F25" i="6" s="1"/>
  <c r="H24" i="6"/>
  <c r="H11" i="7"/>
  <c r="H12" i="7" s="1"/>
  <c r="F11" i="7"/>
  <c r="F12" i="7" s="1"/>
  <c r="F14" i="7" s="1"/>
  <c r="F14" i="6"/>
  <c r="H14" i="6"/>
  <c r="J14" i="6"/>
  <c r="E32" i="15" l="1"/>
  <c r="F16" i="7"/>
  <c r="H25" i="6"/>
  <c r="J25" i="6"/>
  <c r="H28" i="10"/>
  <c r="H29" i="10" s="1"/>
  <c r="H31" i="10" s="1"/>
  <c r="J28" i="10"/>
  <c r="J29" i="10" s="1"/>
  <c r="J31" i="10" s="1"/>
  <c r="F28" i="10"/>
  <c r="F29" i="10" s="1"/>
  <c r="F31" i="10" s="1"/>
  <c r="J17" i="7"/>
  <c r="J16" i="7"/>
  <c r="H14" i="7"/>
  <c r="H16" i="6"/>
  <c r="F16" i="6"/>
  <c r="J16" i="6"/>
  <c r="E33" i="15" l="1"/>
  <c r="E34" i="15"/>
  <c r="G12" i="15"/>
  <c r="F19" i="6"/>
  <c r="F18" i="6"/>
  <c r="H32" i="10"/>
  <c r="H34" i="10"/>
  <c r="F32" i="10"/>
  <c r="F34" i="10"/>
  <c r="J32" i="10"/>
  <c r="J34" i="10"/>
  <c r="J19" i="6"/>
  <c r="H19" i="6"/>
  <c r="J18" i="7"/>
  <c r="J19" i="7" s="1"/>
  <c r="J21" i="7" s="1"/>
  <c r="J22" i="7" s="1"/>
  <c r="F17" i="7"/>
  <c r="F18" i="7" s="1"/>
  <c r="F19" i="7" s="1"/>
  <c r="H17" i="7"/>
  <c r="H16" i="7"/>
  <c r="H18" i="7" s="1"/>
  <c r="J18" i="6"/>
  <c r="H18" i="6"/>
  <c r="G13" i="15" l="1"/>
  <c r="G14" i="15" s="1"/>
  <c r="F21" i="7"/>
  <c r="F22" i="7" s="1"/>
  <c r="F20" i="6"/>
  <c r="F21" i="6" s="1"/>
  <c r="F23" i="6" s="1"/>
  <c r="F35" i="6" s="1"/>
  <c r="H20" i="6"/>
  <c r="H21" i="6" s="1"/>
  <c r="H23" i="6" s="1"/>
  <c r="J20" i="6"/>
  <c r="J21" i="6" s="1"/>
  <c r="J23" i="6" s="1"/>
  <c r="H19" i="7"/>
  <c r="H21" i="7" s="1"/>
  <c r="H22" i="7" s="1"/>
  <c r="G16" i="15" l="1"/>
  <c r="J26" i="6"/>
  <c r="J28" i="6" s="1"/>
  <c r="J29" i="6" s="1"/>
  <c r="J31" i="6" s="1"/>
  <c r="J35" i="6"/>
  <c r="H26" i="6"/>
  <c r="H28" i="6" s="1"/>
  <c r="H29" i="6" s="1"/>
  <c r="H31" i="6" s="1"/>
  <c r="H35" i="6"/>
  <c r="F26" i="6"/>
  <c r="F28" i="6" s="1"/>
  <c r="F29" i="6" s="1"/>
  <c r="G20" i="15" l="1"/>
  <c r="G19" i="15"/>
  <c r="G18" i="15"/>
  <c r="H34" i="6"/>
  <c r="H32" i="6"/>
  <c r="J32" i="6"/>
  <c r="J34" i="6"/>
  <c r="F31" i="6"/>
  <c r="F34" i="6" s="1"/>
  <c r="G21" i="15" l="1"/>
  <c r="G23" i="15" s="1"/>
  <c r="G27" i="15" s="1"/>
  <c r="G28" i="15" s="1"/>
  <c r="G29" i="15" s="1"/>
  <c r="G30" i="15" s="1"/>
  <c r="G36" i="15"/>
  <c r="I24" i="15" s="1"/>
  <c r="F32" i="6"/>
  <c r="I25" i="15" l="1"/>
  <c r="G32" i="15"/>
  <c r="G34" i="15" l="1"/>
  <c r="I12" i="15"/>
  <c r="G33" i="15"/>
  <c r="I13" i="15" l="1"/>
  <c r="I14" i="15" s="1"/>
  <c r="I16" i="15" l="1"/>
  <c r="I19" i="15" l="1"/>
  <c r="I18" i="15"/>
  <c r="I20" i="15"/>
  <c r="I21" i="15" l="1"/>
  <c r="I23" i="15" s="1"/>
  <c r="I36" i="15" l="1"/>
  <c r="K24" i="15" s="1"/>
  <c r="I27" i="15"/>
  <c r="I28" i="15" s="1"/>
  <c r="I29" i="15" s="1"/>
  <c r="I30" i="15" s="1"/>
  <c r="K25" i="15"/>
  <c r="I32" i="15" l="1"/>
  <c r="I34" i="15" l="1"/>
  <c r="K12" i="15"/>
  <c r="I33" i="15"/>
  <c r="K13" i="15" l="1"/>
  <c r="K14" i="15" s="1"/>
  <c r="K16" i="15" l="1"/>
  <c r="K18" i="15" l="1"/>
  <c r="K19" i="15"/>
  <c r="K20" i="15"/>
  <c r="K21" i="15" l="1"/>
  <c r="K23" i="15" s="1"/>
  <c r="K27" i="15" l="1"/>
  <c r="K28" i="15" s="1"/>
  <c r="K29" i="15" s="1"/>
  <c r="K30" i="15" s="1"/>
  <c r="K36" i="15"/>
  <c r="M24" i="15" s="1"/>
  <c r="M25" i="15"/>
  <c r="K32" i="15" l="1"/>
  <c r="K33" i="15" l="1"/>
  <c r="M12" i="15"/>
  <c r="K34" i="15"/>
  <c r="M13" i="15" l="1"/>
  <c r="M14" i="15" s="1"/>
  <c r="M16" i="15" l="1"/>
  <c r="M20" i="15" l="1"/>
  <c r="M19" i="15"/>
  <c r="M18" i="15"/>
  <c r="M21" i="15" s="1"/>
  <c r="M23" i="15" s="1"/>
  <c r="M27" i="15" l="1"/>
  <c r="M28" i="15" s="1"/>
  <c r="M29" i="15" s="1"/>
  <c r="M30" i="15" s="1"/>
  <c r="M36" i="15"/>
  <c r="M32" i="15" l="1"/>
  <c r="M33" i="15" l="1"/>
  <c r="M34" i="15"/>
</calcChain>
</file>

<file path=xl/sharedStrings.xml><?xml version="1.0" encoding="utf-8"?>
<sst xmlns="http://schemas.openxmlformats.org/spreadsheetml/2006/main" count="322" uniqueCount="133">
  <si>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</si>
  <si>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</si>
  <si>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</si>
  <si>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</si>
  <si>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</si>
  <si>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</si>
  <si>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</si>
  <si>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</si>
  <si>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</si>
  <si>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</si>
  <si>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</si>
  <si>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</si>
  <si>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</si>
  <si>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</si>
  <si>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</si>
  <si>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</si>
  <si>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</si>
  <si>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</si>
  <si>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</si>
  <si>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</si>
  <si>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</si>
  <si>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</si>
  <si>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</si>
  <si>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</si>
  <si>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</si>
  <si>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</si>
  <si>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</si>
  <si>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</si>
  <si>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</si>
  <si>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</si>
  <si>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</si>
  <si>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</si>
  <si>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</si>
  <si>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</si>
  <si>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</si>
  <si>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</si>
  <si>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</si>
  <si>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</si>
  <si>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</si>
  <si>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</si>
  <si>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</si>
  <si>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</si>
  <si>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</si>
  <si>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</si>
  <si>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</si>
  <si>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</si>
  <si>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</si>
  <si>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</si>
  <si>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</si>
  <si>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</si>
  <si>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</si>
  <si>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</si>
  <si>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</si>
  <si>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</si>
  <si>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</si>
  <si>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</si>
  <si>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</si>
  <si>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</si>
  <si>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</si>
  <si>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</si>
  <si>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</si>
  <si>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</si>
  <si>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</si>
  <si>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</si>
  <si>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</si>
  <si>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</si>
  <si>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</si>
  <si>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</si>
  <si>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</si>
  <si>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</si>
  <si>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</si>
  <si>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</si>
  <si>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</si>
  <si>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</si>
  <si>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</si>
  <si>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</si>
  <si>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</si>
  <si>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</si>
  <si>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</si>
  <si>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</si>
  <si>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</si>
  <si>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</si>
  <si>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</si>
  <si>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</si>
  <si>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</si>
  <si>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</si>
  <si>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</si>
  <si>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</si>
  <si>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</si>
  <si>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</si>
  <si>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</si>
  <si>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</si>
  <si>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</si>
  <si>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</si>
  <si>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</si>
  <si>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</si>
  <si>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</si>
  <si>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</si>
  <si>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</si>
  <si>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</si>
  <si>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</si>
  <si>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</si>
  <si>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</si>
  <si>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</si>
  <si>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</si>
  <si>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</si>
  <si>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</si>
  <si>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</si>
  <si>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</si>
  <si>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</si>
  <si>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</si>
  <si>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Hybrid Fee Calculator</t>
  </si>
  <si>
    <t xml:space="preserve">Capital Contributed / Op Assets under Management </t>
  </si>
  <si>
    <t>Value of the Portfolio before Performance fee</t>
  </si>
  <si>
    <t>Hurdle NAV (Compounded at Hurdle rate YoY)</t>
  </si>
  <si>
    <r>
      <t xml:space="preserve">xi = i x e </t>
    </r>
    <r>
      <rPr>
        <sz val="7"/>
        <color theme="1"/>
        <rFont val="Calibri"/>
        <family val="2"/>
        <scheme val="minor"/>
      </rPr>
      <t>[Formula for first year is different and for subsequent year is different]</t>
    </r>
  </si>
  <si>
    <t>Portfolio value in excess of Hurdle NAV</t>
  </si>
  <si>
    <t>xii = ix - xi</t>
  </si>
  <si>
    <t>xiv = xii x d</t>
  </si>
  <si>
    <t>Difference of fee accrued till the year and the fee already paid by the client</t>
  </si>
  <si>
    <t>xvii = ix - xiv</t>
  </si>
  <si>
    <t>xviii = ((xvii - i) / i) %</t>
  </si>
  <si>
    <t>Portfolio XIRR</t>
  </si>
  <si>
    <t>Annualized</t>
  </si>
  <si>
    <t>High Water Mark to be c/f for next year</t>
  </si>
  <si>
    <t>xix = Max (x, xvii)</t>
  </si>
  <si>
    <t>Schedule of Fee - In the interest of PMS clients</t>
  </si>
  <si>
    <t xml:space="preserve">Note: </t>
  </si>
  <si>
    <t>In the illustration, Management fee is assumed to be charged annually. However, the Portfolio Manager may charge fee at any other frequency (i.e. Monthly, Quarterly, Semi-annually, Annually) as defined in the PMS agreement and permitted under SEBI regulations.</t>
  </si>
  <si>
    <t xml:space="preserve">For this illustration, High Water Mark in any year is the maximum closing value of the portflio (before performance fee) in all the preceeding financial years. </t>
  </si>
  <si>
    <t xml:space="preserve">In this example, there is a no catch up of fee for the customer. </t>
  </si>
  <si>
    <t>The above calculator assumes that the performance fee is charged from the portfolio itself.</t>
  </si>
  <si>
    <t>For this illustration, the Hurdle NAV is compounded annually at the Hurdle Rate. In the first year, the Hurdle NAV is calculated by applying the Hurdle Rate to the Initial Capital Contribution. For subsequent years, the Hurdle NAV is calculated as the greater of the Value of the Portfolio before applying the Performance Fee, after applying the Hurdle Rate, or the previous year’s Hurdle NAV compounded by the Hurdle Rate. This approach ensures that the Hurdle NAV is properly compounded while accounting for the performance of the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</si>
</sst>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0_ ;[Red]\-#,##0.00\ "/>
    <numFmt numFmtId="165" formatCode="#,##0_ ;[Red]\-#,##0\ "/>
    <numFmt numFmtId="166" formatCode="#,##0.0_ ;[Red]\-#,##0.0\ "/>
    <numFmt numFmtId="167" formatCode="0.000000000000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7"/>
      <color theme="1"/>
      <name val="Calibri"/>
      <family val="2"/>
      <scheme val="minor"/>
    </font>
    <font>
      <sz val="11"/>
      <color theme="9"/>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0">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0" xfId="0" applyBorder="1" applyAlignment="1">
      <alignment vertical="center" wrapText="1"/>
    </xf>
    <xf numFmtId="0" fontId="0" fillId="0" borderId="11" xfId="0" applyBorder="1" applyAlignment="1">
      <alignment vertical="center"/>
    </xf>
    <xf numFmtId="0" fontId="0" fillId="0" borderId="10" xfId="0" applyBorder="1" applyAlignment="1">
      <alignment horizontal="center" vertical="center" wrapText="1"/>
    </xf>
    <xf numFmtId="0" fontId="0" fillId="0" borderId="10" xfId="0" applyBorder="1" applyAlignment="1">
      <alignment horizontal="left" vertical="center" wrapText="1"/>
    </xf>
    <xf numFmtId="0" fontId="0" fillId="0" borderId="12"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wrapText="1"/>
    </xf>
    <xf numFmtId="0" fontId="2" fillId="0" borderId="2" xfId="0" applyFont="1" applyBorder="1" applyAlignment="1">
      <alignment horizontal="center" vertical="center" wrapText="1"/>
    </xf>
    <xf numFmtId="0" fontId="0" fillId="0" borderId="5" xfId="0" applyBorder="1" applyAlignment="1">
      <alignment horizontal="center" vertical="center"/>
    </xf>
    <xf numFmtId="0" fontId="2" fillId="0" borderId="6"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vertical="center" wrapText="1"/>
    </xf>
    <xf numFmtId="0" fontId="2" fillId="0" borderId="4" xfId="0" applyFont="1" applyBorder="1" applyAlignment="1">
      <alignment horizontal="right" vertical="center"/>
    </xf>
    <xf numFmtId="0" fontId="0" fillId="0" borderId="11" xfId="0" applyBorder="1" applyAlignment="1">
      <alignment horizontal="center" vertical="center" wrapText="1"/>
    </xf>
    <xf numFmtId="0" fontId="2" fillId="2" borderId="0" xfId="0" applyFont="1" applyFill="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2" fontId="0" fillId="0" borderId="0" xfId="0" applyNumberFormat="1" applyAlignment="1">
      <alignment vertical="center"/>
    </xf>
    <xf numFmtId="9" fontId="0" fillId="0" borderId="0" xfId="1" applyFont="1" applyAlignment="1">
      <alignment vertical="center"/>
    </xf>
    <xf numFmtId="9" fontId="0" fillId="0" borderId="0" xfId="0" applyNumberFormat="1" applyAlignment="1">
      <alignment vertical="center"/>
    </xf>
    <xf numFmtId="167" fontId="0" fillId="0" borderId="0" xfId="0" applyNumberFormat="1" applyAlignment="1">
      <alignment vertical="center"/>
    </xf>
    <xf numFmtId="10" fontId="0" fillId="0" borderId="0" xfId="1" applyNumberFormat="1" applyFont="1" applyAlignment="1">
      <alignment vertical="center"/>
    </xf>
    <xf numFmtId="165" fontId="0" fillId="0" borderId="0" xfId="0" applyNumberFormat="1" applyAlignment="1">
      <alignment vertical="center"/>
    </xf>
    <xf numFmtId="0" fontId="2" fillId="0" borderId="0" xfId="0" applyFont="1" applyAlignment="1">
      <alignment vertical="center"/>
    </xf>
    <xf numFmtId="0" fontId="0" fillId="0" borderId="20" xfId="0" applyBorder="1" applyAlignment="1">
      <alignment vertical="center" wrapText="1"/>
    </xf>
    <xf numFmtId="0" fontId="0" fillId="0" borderId="34" xfId="0" applyBorder="1" applyAlignment="1">
      <alignment vertical="center" wrapText="1"/>
    </xf>
    <xf numFmtId="0" fontId="0" fillId="0" borderId="28" xfId="0" applyBorder="1" applyAlignment="1">
      <alignment horizontal="center" vertical="center" wrapText="1"/>
    </xf>
    <xf numFmtId="0" fontId="0" fillId="0" borderId="32" xfId="0" applyBorder="1" applyAlignment="1">
      <alignment vertical="center" wrapText="1"/>
    </xf>
    <xf numFmtId="0" fontId="0" fillId="0" borderId="4" xfId="0"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9" fontId="2" fillId="0" borderId="4" xfId="0" applyNumberFormat="1" applyFont="1" applyBorder="1" applyAlignment="1">
      <alignment horizontal="right" vertical="center"/>
    </xf>
    <xf numFmtId="9" fontId="2" fillId="0" borderId="22" xfId="0" applyNumberFormat="1" applyFont="1" applyBorder="1" applyAlignment="1">
      <alignment horizontal="right" vertical="center"/>
    </xf>
    <xf numFmtId="0" fontId="0" fillId="0" borderId="4" xfId="0" applyBorder="1" applyAlignment="1">
      <alignment vertical="center" wrapText="1"/>
    </xf>
    <xf numFmtId="0" fontId="0" fillId="0" borderId="28" xfId="0" applyBorder="1" applyAlignment="1">
      <alignment vertical="center" wrapText="1"/>
    </xf>
    <xf numFmtId="0" fontId="0" fillId="0" borderId="4" xfId="0" quotePrefix="1" applyBorder="1" applyAlignment="1">
      <alignment vertical="center" wrapText="1"/>
    </xf>
    <xf numFmtId="0" fontId="2" fillId="0" borderId="28" xfId="0" applyFont="1" applyBorder="1" applyAlignment="1">
      <alignment horizontal="right" vertical="center"/>
    </xf>
    <xf numFmtId="9" fontId="2" fillId="0" borderId="27" xfId="0" applyNumberFormat="1" applyFont="1" applyBorder="1" applyAlignment="1">
      <alignment horizontal="right" vertical="center"/>
    </xf>
    <xf numFmtId="9" fontId="2" fillId="0" borderId="28" xfId="0" applyNumberFormat="1" applyFont="1" applyBorder="1" applyAlignment="1">
      <alignment horizontal="right" vertical="center"/>
    </xf>
    <xf numFmtId="9" fontId="2" fillId="0" borderId="29" xfId="0" applyNumberFormat="1" applyFont="1" applyBorder="1" applyAlignment="1">
      <alignment horizontal="right" vertical="center"/>
    </xf>
    <xf numFmtId="0" fontId="0" fillId="0" borderId="20" xfId="0" applyBorder="1" applyAlignment="1">
      <alignment horizontal="left" vertical="center" wrapText="1"/>
    </xf>
    <xf numFmtId="0" fontId="0" fillId="0" borderId="3" xfId="0" applyBorder="1" applyAlignment="1">
      <alignment horizontal="left" vertical="center" wrapText="1"/>
    </xf>
    <xf numFmtId="9" fontId="2" fillId="0" borderId="36" xfId="0" applyNumberFormat="1" applyFont="1" applyBorder="1" applyAlignment="1">
      <alignment horizontal="right" vertical="center"/>
    </xf>
    <xf numFmtId="0" fontId="2" fillId="0" borderId="2" xfId="0" applyFont="1" applyBorder="1" applyAlignment="1">
      <alignment horizontal="right" vertical="center"/>
    </xf>
    <xf numFmtId="0" fontId="2" fillId="0" borderId="26" xfId="0" applyFont="1" applyBorder="1" applyAlignment="1">
      <alignment horizontal="right" vertical="center"/>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4" xfId="0" applyFont="1" applyBorder="1" applyAlignment="1">
      <alignment horizontal="center" vertical="center"/>
    </xf>
    <xf numFmtId="44" fontId="0" fillId="0" borderId="1" xfId="3" applyFont="1" applyBorder="1" applyAlignment="1">
      <alignment horizontal="right" vertical="center"/>
    </xf>
    <xf numFmtId="44" fontId="0" fillId="0" borderId="11" xfId="3" applyFont="1" applyBorder="1" applyAlignment="1">
      <alignment horizontal="right" vertical="center"/>
    </xf>
    <xf numFmtId="44" fontId="3" fillId="0" borderId="1" xfId="3" applyFont="1" applyBorder="1" applyAlignment="1">
      <alignment horizontal="right" vertical="center"/>
    </xf>
    <xf numFmtId="44" fontId="3" fillId="0" borderId="11" xfId="3" applyFont="1" applyBorder="1" applyAlignment="1">
      <alignment horizontal="right"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10" fontId="0" fillId="0" borderId="1" xfId="1" applyNumberFormat="1" applyFont="1" applyBorder="1" applyAlignment="1">
      <alignment horizontal="right" vertical="center"/>
    </xf>
    <xf numFmtId="10" fontId="0" fillId="0" borderId="11" xfId="1" applyNumberFormat="1" applyFont="1" applyBorder="1" applyAlignment="1">
      <alignment horizontal="right" vertical="center"/>
    </xf>
    <xf numFmtId="44" fontId="0" fillId="0" borderId="8" xfId="3" applyFont="1" applyBorder="1" applyAlignment="1">
      <alignment horizontal="right" vertical="center"/>
    </xf>
    <xf numFmtId="44" fontId="0" fillId="0" borderId="9" xfId="3" applyFont="1" applyBorder="1" applyAlignment="1">
      <alignment horizontal="right" vertical="center"/>
    </xf>
    <xf numFmtId="10" fontId="0" fillId="0" borderId="1" xfId="0" applyNumberFormat="1" applyBorder="1" applyAlignment="1">
      <alignment horizontal="right" vertical="center"/>
    </xf>
    <xf numFmtId="10" fontId="0" fillId="0" borderId="11" xfId="0" applyNumberFormat="1" applyBorder="1" applyAlignment="1">
      <alignment horizontal="right" vertical="center"/>
    </xf>
    <xf numFmtId="10" fontId="0" fillId="0" borderId="28" xfId="0" applyNumberFormat="1" applyBorder="1" applyAlignment="1">
      <alignment horizontal="right" vertical="center"/>
    </xf>
    <xf numFmtId="10" fontId="0" fillId="0" borderId="29" xfId="0" applyNumberFormat="1" applyBorder="1" applyAlignment="1">
      <alignment horizontal="righ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2" fillId="0" borderId="20" xfId="0" applyFont="1" applyBorder="1" applyAlignment="1">
      <alignment horizontal="left" vertical="center" wrapText="1"/>
    </xf>
    <xf numFmtId="0" fontId="2" fillId="0" borderId="3" xfId="0" applyFont="1" applyBorder="1" applyAlignment="1">
      <alignment horizontal="left" vertical="center" wrapText="1"/>
    </xf>
    <xf numFmtId="0" fontId="2" fillId="0" borderId="21"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44" fontId="0" fillId="0" borderId="4" xfId="3" applyFont="1" applyBorder="1" applyAlignment="1">
      <alignment horizontal="righ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5" xfId="0" applyFont="1" applyBorder="1" applyAlignment="1">
      <alignment horizontal="center" vertical="center" wrapText="1"/>
    </xf>
    <xf numFmtId="44" fontId="0" fillId="0" borderId="22" xfId="3" applyFont="1" applyBorder="1" applyAlignment="1">
      <alignment horizontal="right"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165" fontId="0" fillId="0" borderId="1" xfId="0" applyNumberFormat="1" applyBorder="1" applyAlignment="1">
      <alignment horizontal="right" vertical="center"/>
    </xf>
    <xf numFmtId="165" fontId="0" fillId="0" borderId="11" xfId="0" applyNumberFormat="1" applyBorder="1" applyAlignment="1">
      <alignment horizontal="right" vertical="center"/>
    </xf>
    <xf numFmtId="44" fontId="3" fillId="0" borderId="3" xfId="3" applyFont="1" applyBorder="1" applyAlignment="1">
      <alignment horizontal="right" vertical="center"/>
    </xf>
    <xf numFmtId="165" fontId="0" fillId="0" borderId="3" xfId="0" applyNumberFormat="1" applyBorder="1" applyAlignment="1">
      <alignment horizontal="right" vertical="center"/>
    </xf>
    <xf numFmtId="165" fontId="0" fillId="0" borderId="21" xfId="0" applyNumberFormat="1" applyBorder="1" applyAlignment="1">
      <alignment horizontal="right" vertical="center"/>
    </xf>
    <xf numFmtId="44" fontId="0" fillId="0" borderId="28" xfId="3" applyFont="1" applyBorder="1" applyAlignment="1">
      <alignment horizontal="right" vertical="center"/>
    </xf>
    <xf numFmtId="44" fontId="0" fillId="0" borderId="29" xfId="3" applyFont="1" applyBorder="1" applyAlignment="1">
      <alignment horizontal="right" vertical="center"/>
    </xf>
    <xf numFmtId="10" fontId="0" fillId="0" borderId="3" xfId="1" applyNumberFormat="1" applyFont="1" applyBorder="1" applyAlignment="1">
      <alignment horizontal="right" vertical="center"/>
    </xf>
    <xf numFmtId="10" fontId="0" fillId="0" borderId="21" xfId="1" applyNumberFormat="1" applyFont="1" applyBorder="1" applyAlignment="1">
      <alignment horizontal="right" vertical="center"/>
    </xf>
    <xf numFmtId="0" fontId="0" fillId="0" borderId="6"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2" fillId="0" borderId="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3" fontId="0" fillId="2" borderId="1" xfId="0" applyNumberFormat="1" applyFill="1" applyBorder="1" applyAlignment="1">
      <alignment vertical="center"/>
    </xf>
    <xf numFmtId="10" fontId="0" fillId="2" borderId="1" xfId="0" applyNumberForma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9" fontId="2" fillId="2" borderId="1" xfId="0" applyNumberFormat="1" applyFont="1" applyFill="1" applyBorder="1" applyAlignment="1">
      <alignment horizontal="left" vertical="center"/>
    </xf>
    <xf numFmtId="164" fontId="0" fillId="0" borderId="1" xfId="0" applyNumberFormat="1" applyBorder="1" applyAlignment="1">
      <alignment horizontal="right" vertical="center"/>
    </xf>
    <xf numFmtId="165" fontId="5" fillId="0" borderId="1" xfId="0" applyNumberFormat="1" applyFont="1" applyBorder="1" applyAlignment="1">
      <alignment horizontal="right" vertical="center"/>
    </xf>
    <xf numFmtId="10" fontId="0" fillId="0" borderId="1" xfId="1" applyNumberFormat="1" applyFont="1" applyFill="1" applyBorder="1" applyAlignment="1">
      <alignment horizontal="right" vertical="center"/>
    </xf>
    <xf numFmtId="166" fontId="0" fillId="0" borderId="1" xfId="0" applyNumberFormat="1" applyBorder="1" applyAlignment="1">
      <alignment horizontal="right" vertical="center"/>
    </xf>
    <xf numFmtId="0" fontId="0" fillId="0" borderId="1" xfId="0" applyBorder="1" applyAlignment="1">
      <alignment horizontal="left" vertical="center"/>
    </xf>
  </cellXfs>
  <cellStyles count="4">
    <cellStyle name="Currency" xfId="3" builtinId="4"/>
    <cellStyle name="Normal" xfId="0" builtinId="0"/>
    <cellStyle name="Percent" xfId="1" builtinId="5"/>
    <cellStyle name="Percent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2"/>
  <sheetViews>
    <sheetView showGridLines="0" tabSelected="1" zoomScaleNormal="100" workbookViewId="0"/>
  </sheetViews>
  <sheetFormatPr defaultColWidth="8.7109375" defaultRowHeight="15" x14ac:dyDescent="0.25"/>
  <cols>
    <col min="1" max="1" width="8.7109375" style="2"/>
    <col min="2" max="2" width="2.28515625" style="17" bestFit="1" customWidth="1"/>
    <col min="3" max="3" width="46.140625" style="1" bestFit="1" customWidth="1"/>
    <col min="4" max="4" width="4" style="3" bestFit="1" customWidth="1"/>
    <col min="5" max="5" width="17.7109375" style="1" bestFit="1" customWidth="1"/>
    <col min="6" max="6" width="7.28515625" style="2" bestFit="1" customWidth="1"/>
    <col min="7" max="7" width="12.5703125" style="2" customWidth="1"/>
    <col min="8" max="8" width="10.5703125" style="2" bestFit="1" customWidth="1"/>
    <col min="9" max="9" width="14.140625" style="2" customWidth="1"/>
    <col min="10" max="10" width="7" style="2" bestFit="1" customWidth="1"/>
    <col min="11" max="11" width="11.28515625" style="2" customWidth="1"/>
    <col min="12" max="16384" width="8.7109375" style="2"/>
  </cols>
  <sheetData>
    <row r="2" spans="3:11" ht="15.75" thickBot="1" x14ac:dyDescent="0.3">
      <c r="C2" s="27" t="s">
        <v>0</v>
      </c>
      <c r="D2" s="28"/>
      <c r="E2" s="27"/>
    </row>
    <row r="3" spans="3:11" x14ac:dyDescent="0.25">
      <c r="C3" s="41" t="s">
        <v>2</v>
      </c>
      <c r="D3" s="42" t="s">
        <v>15</v>
      </c>
      <c r="E3" s="74">
        <v>10000000</v>
      </c>
      <c r="F3" s="74"/>
      <c r="G3" s="74"/>
      <c r="H3" s="74"/>
      <c r="I3" s="74"/>
      <c r="J3" s="74"/>
      <c r="K3" s="75"/>
    </row>
    <row r="4" spans="3:11" x14ac:dyDescent="0.25">
      <c r="C4" s="10" t="s">
        <v>1</v>
      </c>
      <c r="D4" s="6" t="s">
        <v>16</v>
      </c>
      <c r="E4" s="76">
        <v>0.02</v>
      </c>
      <c r="F4" s="76"/>
      <c r="G4" s="76"/>
      <c r="H4" s="76"/>
      <c r="I4" s="76"/>
      <c r="J4" s="76"/>
      <c r="K4" s="77"/>
    </row>
    <row r="5" spans="3:11" x14ac:dyDescent="0.25">
      <c r="C5" s="10" t="s">
        <v>38</v>
      </c>
      <c r="D5" s="6" t="s">
        <v>17</v>
      </c>
      <c r="E5" s="76">
        <v>5.0000000000000001E-3</v>
      </c>
      <c r="F5" s="76"/>
      <c r="G5" s="76"/>
      <c r="H5" s="76"/>
      <c r="I5" s="76"/>
      <c r="J5" s="76"/>
      <c r="K5" s="77"/>
    </row>
    <row r="6" spans="3:11" ht="15.75" thickBot="1" x14ac:dyDescent="0.3">
      <c r="C6" s="37" t="s">
        <v>56</v>
      </c>
      <c r="D6" s="38" t="s">
        <v>41</v>
      </c>
      <c r="E6" s="78">
        <v>2E-3</v>
      </c>
      <c r="F6" s="78"/>
      <c r="G6" s="78"/>
      <c r="H6" s="78"/>
      <c r="I6" s="78"/>
      <c r="J6" s="78"/>
      <c r="K6" s="79"/>
    </row>
    <row r="7" spans="3:11" ht="15.75" thickBot="1" x14ac:dyDescent="0.3">
      <c r="F7" s="15"/>
    </row>
    <row r="8" spans="3:11" ht="15.75" thickBot="1" x14ac:dyDescent="0.3">
      <c r="C8" s="58" t="s">
        <v>36</v>
      </c>
      <c r="D8" s="59"/>
      <c r="E8" s="60"/>
      <c r="F8" s="63" t="s">
        <v>12</v>
      </c>
      <c r="G8" s="64"/>
      <c r="H8" s="63" t="s">
        <v>13</v>
      </c>
      <c r="I8" s="64"/>
      <c r="J8" s="63" t="s">
        <v>14</v>
      </c>
      <c r="K8" s="64"/>
    </row>
    <row r="9" spans="3:11" x14ac:dyDescent="0.25">
      <c r="C9" s="61"/>
      <c r="D9" s="62"/>
      <c r="E9" s="62"/>
      <c r="F9" s="24" t="s">
        <v>3</v>
      </c>
      <c r="G9" s="43">
        <v>0.2</v>
      </c>
      <c r="H9" s="24" t="s">
        <v>5</v>
      </c>
      <c r="I9" s="43">
        <v>0</v>
      </c>
      <c r="J9" s="24" t="s">
        <v>4</v>
      </c>
      <c r="K9" s="44">
        <v>-0.2</v>
      </c>
    </row>
    <row r="10" spans="3:11" x14ac:dyDescent="0.25">
      <c r="C10" s="10" t="s">
        <v>11</v>
      </c>
      <c r="D10" s="6" t="s">
        <v>19</v>
      </c>
      <c r="E10" s="7" t="s">
        <v>29</v>
      </c>
      <c r="F10" s="65">
        <f>+$E$3</f>
        <v>10000000</v>
      </c>
      <c r="G10" s="65"/>
      <c r="H10" s="65">
        <f>+$E$3</f>
        <v>10000000</v>
      </c>
      <c r="I10" s="65"/>
      <c r="J10" s="65">
        <f>+$E$3</f>
        <v>10000000</v>
      </c>
      <c r="K10" s="66"/>
    </row>
    <row r="11" spans="3:11" x14ac:dyDescent="0.25">
      <c r="C11" s="10" t="s">
        <v>33</v>
      </c>
      <c r="D11" s="6" t="s">
        <v>20</v>
      </c>
      <c r="E11" s="7" t="s">
        <v>30</v>
      </c>
      <c r="F11" s="65">
        <f>F10*G9</f>
        <v>2000000</v>
      </c>
      <c r="G11" s="65"/>
      <c r="H11" s="65">
        <f>H10*I9</f>
        <v>0</v>
      </c>
      <c r="I11" s="65"/>
      <c r="J11" s="65">
        <f>J10*K9</f>
        <v>-2000000</v>
      </c>
      <c r="K11" s="66"/>
    </row>
    <row r="12" spans="3:11" x14ac:dyDescent="0.25">
      <c r="C12" s="10" t="s">
        <v>7</v>
      </c>
      <c r="D12" s="6" t="s">
        <v>21</v>
      </c>
      <c r="E12" s="7" t="s">
        <v>31</v>
      </c>
      <c r="F12" s="65">
        <f>F10+F11</f>
        <v>12000000</v>
      </c>
      <c r="G12" s="65"/>
      <c r="H12" s="65">
        <f>H10+H11</f>
        <v>10000000</v>
      </c>
      <c r="I12" s="65"/>
      <c r="J12" s="65">
        <f>J10+J11</f>
        <v>8000000</v>
      </c>
      <c r="K12" s="66"/>
    </row>
    <row r="13" spans="3:11" x14ac:dyDescent="0.25">
      <c r="C13" s="69"/>
      <c r="D13" s="70"/>
      <c r="E13" s="70"/>
      <c r="F13" s="70"/>
      <c r="G13" s="70"/>
      <c r="H13" s="70"/>
      <c r="I13" s="70"/>
      <c r="J13" s="70"/>
      <c r="K13" s="71"/>
    </row>
    <row r="14" spans="3:11" x14ac:dyDescent="0.25">
      <c r="C14" s="10" t="s">
        <v>63</v>
      </c>
      <c r="D14" s="6" t="s">
        <v>22</v>
      </c>
      <c r="E14" s="7" t="s">
        <v>32</v>
      </c>
      <c r="F14" s="65">
        <f>(F10+F12)/2</f>
        <v>11000000</v>
      </c>
      <c r="G14" s="65"/>
      <c r="H14" s="65">
        <f>(H10+H12)/2</f>
        <v>10000000</v>
      </c>
      <c r="I14" s="65"/>
      <c r="J14" s="65">
        <f>(J10+J12)/2</f>
        <v>9000000</v>
      </c>
      <c r="K14" s="66"/>
    </row>
    <row r="15" spans="3:11" x14ac:dyDescent="0.25">
      <c r="C15" s="69"/>
      <c r="D15" s="70"/>
      <c r="E15" s="70"/>
      <c r="F15" s="70"/>
      <c r="G15" s="70"/>
      <c r="H15" s="70"/>
      <c r="I15" s="70"/>
      <c r="J15" s="70"/>
      <c r="K15" s="71"/>
    </row>
    <row r="16" spans="3:11" x14ac:dyDescent="0.25">
      <c r="C16" s="10" t="s">
        <v>34</v>
      </c>
      <c r="D16" s="6" t="s">
        <v>23</v>
      </c>
      <c r="E16" s="7" t="s">
        <v>55</v>
      </c>
      <c r="F16" s="67">
        <f>+F14*-$E$5</f>
        <v>-55000</v>
      </c>
      <c r="G16" s="67"/>
      <c r="H16" s="67">
        <f>+H14*-$E$5</f>
        <v>-50000</v>
      </c>
      <c r="I16" s="67"/>
      <c r="J16" s="67">
        <f>+J14*-$E$5</f>
        <v>-45000</v>
      </c>
      <c r="K16" s="68"/>
    </row>
    <row r="17" spans="2:11" x14ac:dyDescent="0.25">
      <c r="C17" s="10" t="s">
        <v>56</v>
      </c>
      <c r="D17" s="6" t="s">
        <v>24</v>
      </c>
      <c r="E17" s="7" t="s">
        <v>57</v>
      </c>
      <c r="F17" s="67">
        <f>+F14*-$E$6</f>
        <v>-22000</v>
      </c>
      <c r="G17" s="67"/>
      <c r="H17" s="67">
        <f>+H14*-$E$6</f>
        <v>-20000</v>
      </c>
      <c r="I17" s="67"/>
      <c r="J17" s="67">
        <f>+J14*-$E$6</f>
        <v>-18000</v>
      </c>
      <c r="K17" s="68"/>
    </row>
    <row r="18" spans="2:11" x14ac:dyDescent="0.25">
      <c r="C18" s="10" t="s">
        <v>35</v>
      </c>
      <c r="D18" s="6" t="s">
        <v>25</v>
      </c>
      <c r="E18" s="5" t="s">
        <v>58</v>
      </c>
      <c r="F18" s="67">
        <f>+(F14+F16+F17)*-$E$4</f>
        <v>-218460</v>
      </c>
      <c r="G18" s="67"/>
      <c r="H18" s="67">
        <f>+(H14+H16+H17)*-$E$4</f>
        <v>-198600</v>
      </c>
      <c r="I18" s="67"/>
      <c r="J18" s="67">
        <f>+(J14+J16+J17)*-$E$4</f>
        <v>-178740</v>
      </c>
      <c r="K18" s="68"/>
    </row>
    <row r="19" spans="2:11" x14ac:dyDescent="0.25">
      <c r="C19" s="10" t="s">
        <v>8</v>
      </c>
      <c r="D19" s="6" t="s">
        <v>26</v>
      </c>
      <c r="E19" s="5" t="s">
        <v>59</v>
      </c>
      <c r="F19" s="67">
        <f>+F16+F18+F17</f>
        <v>-295460</v>
      </c>
      <c r="G19" s="67"/>
      <c r="H19" s="67">
        <f>+H16+H18+H17</f>
        <v>-268600</v>
      </c>
      <c r="I19" s="67"/>
      <c r="J19" s="67">
        <f>+J16+J18+J17</f>
        <v>-241740</v>
      </c>
      <c r="K19" s="68"/>
    </row>
    <row r="20" spans="2:11" x14ac:dyDescent="0.25">
      <c r="C20" s="69"/>
      <c r="D20" s="70"/>
      <c r="E20" s="70"/>
      <c r="F20" s="70"/>
      <c r="G20" s="70"/>
      <c r="H20" s="70"/>
      <c r="I20" s="70"/>
      <c r="J20" s="70"/>
      <c r="K20" s="71"/>
    </row>
    <row r="21" spans="2:11" x14ac:dyDescent="0.25">
      <c r="C21" s="10" t="s">
        <v>9</v>
      </c>
      <c r="D21" s="6" t="s">
        <v>27</v>
      </c>
      <c r="E21" s="5" t="s">
        <v>67</v>
      </c>
      <c r="F21" s="65">
        <f>F12+F19</f>
        <v>11704540</v>
      </c>
      <c r="G21" s="65"/>
      <c r="H21" s="65">
        <f>H12+H19</f>
        <v>9731400</v>
      </c>
      <c r="I21" s="65"/>
      <c r="J21" s="65">
        <f>J12+J19</f>
        <v>7758260</v>
      </c>
      <c r="K21" s="66"/>
    </row>
    <row r="22" spans="2:11" x14ac:dyDescent="0.25">
      <c r="C22" s="10" t="s">
        <v>10</v>
      </c>
      <c r="D22" s="6" t="s">
        <v>28</v>
      </c>
      <c r="E22" s="5" t="s">
        <v>68</v>
      </c>
      <c r="F22" s="72">
        <f>+F21/F10-1</f>
        <v>0.17045400000000011</v>
      </c>
      <c r="G22" s="72"/>
      <c r="H22" s="72">
        <f>+H21/H10-1</f>
        <v>-2.6859999999999995E-2</v>
      </c>
      <c r="I22" s="72"/>
      <c r="J22" s="72">
        <f>+J21/J10-1</f>
        <v>-0.22417399999999998</v>
      </c>
      <c r="K22" s="73"/>
    </row>
    <row r="23" spans="2:11" x14ac:dyDescent="0.25">
      <c r="C23" s="10"/>
      <c r="D23" s="6"/>
      <c r="E23" s="5"/>
      <c r="F23" s="8"/>
      <c r="G23" s="8"/>
      <c r="H23" s="8"/>
      <c r="I23" s="8"/>
      <c r="J23" s="8"/>
      <c r="K23" s="11"/>
    </row>
    <row r="24" spans="2:11" ht="15.75" thickBot="1" x14ac:dyDescent="0.3">
      <c r="B24" s="20"/>
      <c r="C24" s="83" t="s">
        <v>88</v>
      </c>
      <c r="D24" s="84"/>
      <c r="E24" s="84"/>
      <c r="F24" s="84"/>
      <c r="G24" s="84"/>
      <c r="H24" s="84"/>
      <c r="I24" s="84"/>
      <c r="J24" s="84"/>
      <c r="K24" s="85"/>
    </row>
    <row r="25" spans="2:11" s="4" customFormat="1" ht="41.25" customHeight="1" thickBot="1" x14ac:dyDescent="0.3">
      <c r="B25" s="21">
        <v>1</v>
      </c>
      <c r="C25" s="80" t="s">
        <v>110</v>
      </c>
      <c r="D25" s="81"/>
      <c r="E25" s="81"/>
      <c r="F25" s="81"/>
      <c r="G25" s="81"/>
      <c r="H25" s="81"/>
      <c r="I25" s="81"/>
      <c r="J25" s="81"/>
      <c r="K25" s="82"/>
    </row>
    <row r="26" spans="2:11" s="4" customFormat="1" ht="37.5" customHeight="1" thickBot="1" x14ac:dyDescent="0.3">
      <c r="B26" s="21">
        <f t="shared" ref="B26:B30" si="0">+B25+1</f>
        <v>2</v>
      </c>
      <c r="C26" s="80" t="s">
        <v>61</v>
      </c>
      <c r="D26" s="81"/>
      <c r="E26" s="81"/>
      <c r="F26" s="81"/>
      <c r="G26" s="81"/>
      <c r="H26" s="81"/>
      <c r="I26" s="81"/>
      <c r="J26" s="81"/>
      <c r="K26" s="82"/>
    </row>
    <row r="27" spans="2:11" s="4" customFormat="1" ht="33.75" customHeight="1" thickBot="1" x14ac:dyDescent="0.3">
      <c r="B27" s="21">
        <f t="shared" si="0"/>
        <v>3</v>
      </c>
      <c r="C27" s="80" t="s">
        <v>60</v>
      </c>
      <c r="D27" s="81"/>
      <c r="E27" s="81"/>
      <c r="F27" s="81"/>
      <c r="G27" s="81"/>
      <c r="H27" s="81"/>
      <c r="I27" s="81"/>
      <c r="J27" s="81"/>
      <c r="K27" s="82"/>
    </row>
    <row r="28" spans="2:11" s="4" customFormat="1" ht="29.25" customHeight="1" thickBot="1" x14ac:dyDescent="0.3">
      <c r="B28" s="21">
        <f t="shared" si="0"/>
        <v>4</v>
      </c>
      <c r="C28" s="86" t="s">
        <v>37</v>
      </c>
      <c r="D28" s="87"/>
      <c r="E28" s="87"/>
      <c r="F28" s="87"/>
      <c r="G28" s="87"/>
      <c r="H28" s="87"/>
      <c r="I28" s="87"/>
      <c r="J28" s="87"/>
      <c r="K28" s="88"/>
    </row>
    <row r="29" spans="2:11" s="4" customFormat="1" ht="33.75" customHeight="1" thickBot="1" x14ac:dyDescent="0.3">
      <c r="B29" s="21">
        <f t="shared" si="0"/>
        <v>5</v>
      </c>
      <c r="C29" s="80" t="s">
        <v>62</v>
      </c>
      <c r="D29" s="81"/>
      <c r="E29" s="81"/>
      <c r="F29" s="81"/>
      <c r="G29" s="81"/>
      <c r="H29" s="81"/>
      <c r="I29" s="81"/>
      <c r="J29" s="81"/>
      <c r="K29" s="82"/>
    </row>
    <row r="30" spans="2:11" s="4" customFormat="1" ht="15.75" thickBot="1" x14ac:dyDescent="0.3">
      <c r="B30" s="21">
        <f t="shared" si="0"/>
        <v>6</v>
      </c>
      <c r="C30" s="80" t="s">
        <v>51</v>
      </c>
      <c r="D30" s="81"/>
      <c r="E30" s="81"/>
      <c r="F30" s="81"/>
      <c r="G30" s="81"/>
      <c r="H30" s="81"/>
      <c r="I30" s="81"/>
      <c r="J30" s="81"/>
      <c r="K30" s="82"/>
    </row>
    <row r="31" spans="2:11" s="4" customFormat="1" ht="34.5" customHeight="1" thickBot="1" x14ac:dyDescent="0.3">
      <c r="B31" s="21">
        <f t="shared" ref="B31" si="1">+B30+1</f>
        <v>7</v>
      </c>
      <c r="C31" s="80" t="s">
        <v>64</v>
      </c>
      <c r="D31" s="81"/>
      <c r="E31" s="81"/>
      <c r="F31" s="81"/>
      <c r="G31" s="81"/>
      <c r="H31" s="81"/>
      <c r="I31" s="81"/>
      <c r="J31" s="81"/>
      <c r="K31" s="82"/>
    </row>
    <row r="32" spans="2:11" ht="28.5" customHeight="1" thickBot="1" x14ac:dyDescent="0.3">
      <c r="B32" s="21">
        <v>8</v>
      </c>
      <c r="C32" s="80" t="s">
        <v>104</v>
      </c>
      <c r="D32" s="81"/>
      <c r="E32" s="81"/>
      <c r="F32" s="81"/>
      <c r="G32" s="81"/>
      <c r="H32" s="81"/>
      <c r="I32" s="81"/>
      <c r="J32" s="81"/>
      <c r="K32" s="82"/>
    </row>
  </sheetData>
  <mergeCells count="50">
    <mergeCell ref="E3:K3"/>
    <mergeCell ref="E4:K4"/>
    <mergeCell ref="E5:K5"/>
    <mergeCell ref="E6:K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49"/>
  <sheetViews>
    <sheetView showGridLines="0" zoomScale="110" zoomScaleNormal="110" workbookViewId="0"/>
  </sheetViews>
  <sheetFormatPr defaultColWidth="8.7109375" defaultRowHeight="15" x14ac:dyDescent="0.25"/>
  <cols>
    <col min="1" max="1" width="8.7109375" style="2"/>
    <col min="2" max="2" width="5.42578125" style="17" customWidth="1"/>
    <col min="3" max="3" width="56.28515625" style="1" customWidth="1"/>
    <col min="4" max="4" width="4.5703125" style="3" customWidth="1"/>
    <col min="5" max="5" width="17.7109375" style="1" customWidth="1"/>
    <col min="6" max="6" width="10.42578125" style="2" bestFit="1" customWidth="1"/>
    <col min="7" max="7" width="7.85546875" style="2" customWidth="1"/>
    <col min="8" max="8" width="10.42578125" style="2" customWidth="1"/>
    <col min="9" max="9" width="8.140625" style="2" customWidth="1"/>
    <col min="10" max="10" width="12.28515625" style="2" customWidth="1"/>
    <col min="11" max="11" width="5.28515625" style="2" bestFit="1" customWidth="1"/>
    <col min="12" max="12" width="9.7109375" style="2" bestFit="1" customWidth="1"/>
    <col min="13" max="13" width="3.5703125" style="2" bestFit="1" customWidth="1"/>
    <col min="14" max="16384" width="8.7109375" style="2"/>
  </cols>
  <sheetData>
    <row r="2" spans="3:11" ht="15.75" thickBot="1" x14ac:dyDescent="0.3">
      <c r="C2" s="27" t="s">
        <v>0</v>
      </c>
      <c r="D2" s="28"/>
      <c r="E2" s="27"/>
    </row>
    <row r="3" spans="3:11" x14ac:dyDescent="0.25">
      <c r="C3" s="41" t="s">
        <v>2</v>
      </c>
      <c r="D3" s="42" t="s">
        <v>15</v>
      </c>
      <c r="E3" s="74">
        <v>10000000</v>
      </c>
      <c r="F3" s="74"/>
      <c r="G3" s="74"/>
      <c r="H3" s="74"/>
      <c r="I3" s="74"/>
      <c r="J3" s="74"/>
      <c r="K3" s="75"/>
    </row>
    <row r="4" spans="3:11" x14ac:dyDescent="0.25">
      <c r="C4" s="10" t="s">
        <v>1</v>
      </c>
      <c r="D4" s="6" t="s">
        <v>16</v>
      </c>
      <c r="E4" s="76">
        <v>0.02</v>
      </c>
      <c r="F4" s="76"/>
      <c r="G4" s="76"/>
      <c r="H4" s="76"/>
      <c r="I4" s="76"/>
      <c r="J4" s="76"/>
      <c r="K4" s="77"/>
    </row>
    <row r="5" spans="3:11" x14ac:dyDescent="0.25">
      <c r="C5" s="10" t="s">
        <v>6</v>
      </c>
      <c r="D5" s="6" t="s">
        <v>17</v>
      </c>
      <c r="E5" s="76">
        <v>5.0000000000000001E-3</v>
      </c>
      <c r="F5" s="76"/>
      <c r="G5" s="76"/>
      <c r="H5" s="76"/>
      <c r="I5" s="76"/>
      <c r="J5" s="76"/>
      <c r="K5" s="77"/>
    </row>
    <row r="6" spans="3:11" x14ac:dyDescent="0.25">
      <c r="C6" s="10" t="s">
        <v>39</v>
      </c>
      <c r="D6" s="6" t="s">
        <v>41</v>
      </c>
      <c r="E6" s="76">
        <v>0.2</v>
      </c>
      <c r="F6" s="76"/>
      <c r="G6" s="76"/>
      <c r="H6" s="76"/>
      <c r="I6" s="76"/>
      <c r="J6" s="76"/>
      <c r="K6" s="77"/>
    </row>
    <row r="7" spans="3:11" x14ac:dyDescent="0.25">
      <c r="C7" s="10" t="s">
        <v>40</v>
      </c>
      <c r="D7" s="6" t="s">
        <v>42</v>
      </c>
      <c r="E7" s="76">
        <v>0.08</v>
      </c>
      <c r="F7" s="76"/>
      <c r="G7" s="76"/>
      <c r="H7" s="76"/>
      <c r="I7" s="76"/>
      <c r="J7" s="76"/>
      <c r="K7" s="77"/>
    </row>
    <row r="8" spans="3:11" ht="15.75" thickBot="1" x14ac:dyDescent="0.3">
      <c r="C8" s="37" t="s">
        <v>56</v>
      </c>
      <c r="D8" s="38" t="s">
        <v>65</v>
      </c>
      <c r="E8" s="78">
        <v>2E-3</v>
      </c>
      <c r="F8" s="78"/>
      <c r="G8" s="78"/>
      <c r="H8" s="78"/>
      <c r="I8" s="78"/>
      <c r="J8" s="78"/>
      <c r="K8" s="79"/>
    </row>
    <row r="9" spans="3:11" ht="15.75" thickBot="1" x14ac:dyDescent="0.3">
      <c r="F9" s="15"/>
    </row>
    <row r="10" spans="3:11" ht="15.75" thickBot="1" x14ac:dyDescent="0.3">
      <c r="C10" s="90" t="s">
        <v>79</v>
      </c>
      <c r="D10" s="91"/>
      <c r="E10" s="92"/>
      <c r="F10" s="97" t="s">
        <v>12</v>
      </c>
      <c r="G10" s="98"/>
      <c r="H10" s="97" t="s">
        <v>13</v>
      </c>
      <c r="I10" s="98"/>
      <c r="J10" s="97" t="s">
        <v>14</v>
      </c>
      <c r="K10" s="98"/>
    </row>
    <row r="11" spans="3:11" ht="15.75" thickBot="1" x14ac:dyDescent="0.3">
      <c r="C11" s="93"/>
      <c r="D11" s="94"/>
      <c r="E11" s="95"/>
      <c r="F11" s="55" t="s">
        <v>3</v>
      </c>
      <c r="G11" s="54">
        <v>0.2</v>
      </c>
      <c r="H11" s="48" t="s">
        <v>5</v>
      </c>
      <c r="I11" s="50">
        <v>0</v>
      </c>
      <c r="J11" s="48" t="s">
        <v>4</v>
      </c>
      <c r="K11" s="51">
        <v>-0.2</v>
      </c>
    </row>
    <row r="12" spans="3:11" x14ac:dyDescent="0.25">
      <c r="C12" s="39" t="s">
        <v>11</v>
      </c>
      <c r="D12" s="40" t="s">
        <v>19</v>
      </c>
      <c r="E12" s="47" t="s">
        <v>29</v>
      </c>
      <c r="F12" s="89">
        <f>+$E$3</f>
        <v>10000000</v>
      </c>
      <c r="G12" s="89"/>
      <c r="H12" s="89">
        <f>+$E$3</f>
        <v>10000000</v>
      </c>
      <c r="I12" s="89"/>
      <c r="J12" s="89">
        <f>+$E$3</f>
        <v>10000000</v>
      </c>
      <c r="K12" s="96"/>
    </row>
    <row r="13" spans="3:11" x14ac:dyDescent="0.25">
      <c r="C13" s="10" t="s">
        <v>33</v>
      </c>
      <c r="D13" s="6" t="s">
        <v>20</v>
      </c>
      <c r="E13" s="7" t="s">
        <v>30</v>
      </c>
      <c r="F13" s="65">
        <f>F12*G11</f>
        <v>2000000</v>
      </c>
      <c r="G13" s="65"/>
      <c r="H13" s="65">
        <f>H12*I11</f>
        <v>0</v>
      </c>
      <c r="I13" s="65"/>
      <c r="J13" s="65">
        <f>J12*K11</f>
        <v>-2000000</v>
      </c>
      <c r="K13" s="66"/>
    </row>
    <row r="14" spans="3:11" x14ac:dyDescent="0.25">
      <c r="C14" s="10" t="s">
        <v>7</v>
      </c>
      <c r="D14" s="6" t="s">
        <v>21</v>
      </c>
      <c r="E14" s="7" t="s">
        <v>31</v>
      </c>
      <c r="F14" s="65">
        <f>F12+F13</f>
        <v>12000000</v>
      </c>
      <c r="G14" s="65"/>
      <c r="H14" s="65">
        <f>H12+H13</f>
        <v>10000000</v>
      </c>
      <c r="I14" s="65"/>
      <c r="J14" s="65">
        <f>J12+J13</f>
        <v>8000000</v>
      </c>
      <c r="K14" s="66"/>
    </row>
    <row r="15" spans="3:11" x14ac:dyDescent="0.25">
      <c r="C15" s="69"/>
      <c r="D15" s="70"/>
      <c r="E15" s="70"/>
      <c r="F15" s="70"/>
      <c r="G15" s="70"/>
      <c r="H15" s="70"/>
      <c r="I15" s="70"/>
      <c r="J15" s="70"/>
      <c r="K15" s="71"/>
    </row>
    <row r="16" spans="3:11" x14ac:dyDescent="0.25">
      <c r="C16" s="10" t="s">
        <v>18</v>
      </c>
      <c r="D16" s="6" t="s">
        <v>22</v>
      </c>
      <c r="E16" s="7" t="s">
        <v>32</v>
      </c>
      <c r="F16" s="65">
        <f>(F12+F14)/2</f>
        <v>11000000</v>
      </c>
      <c r="G16" s="65"/>
      <c r="H16" s="65">
        <f>(H12+H14)/2</f>
        <v>10000000</v>
      </c>
      <c r="I16" s="65"/>
      <c r="J16" s="65">
        <f>(J12+J14)/2</f>
        <v>9000000</v>
      </c>
      <c r="K16" s="66"/>
    </row>
    <row r="17" spans="3:11" x14ac:dyDescent="0.25">
      <c r="C17" s="69"/>
      <c r="D17" s="70"/>
      <c r="E17" s="70"/>
      <c r="F17" s="70"/>
      <c r="G17" s="70"/>
      <c r="H17" s="70"/>
      <c r="I17" s="70"/>
      <c r="J17" s="70"/>
      <c r="K17" s="71"/>
    </row>
    <row r="18" spans="3:11" x14ac:dyDescent="0.25">
      <c r="C18" s="10" t="s">
        <v>34</v>
      </c>
      <c r="D18" s="6" t="s">
        <v>23</v>
      </c>
      <c r="E18" s="7" t="s">
        <v>55</v>
      </c>
      <c r="F18" s="67">
        <f>+F16*-$E$5</f>
        <v>-55000</v>
      </c>
      <c r="G18" s="67"/>
      <c r="H18" s="67">
        <f>+H16*-$E$5</f>
        <v>-50000</v>
      </c>
      <c r="I18" s="67"/>
      <c r="J18" s="67">
        <f>+J16*-$E$5</f>
        <v>-45000</v>
      </c>
      <c r="K18" s="68"/>
    </row>
    <row r="19" spans="3:11" x14ac:dyDescent="0.25">
      <c r="C19" s="10" t="s">
        <v>56</v>
      </c>
      <c r="D19" s="6" t="s">
        <v>24</v>
      </c>
      <c r="E19" s="7" t="s">
        <v>66</v>
      </c>
      <c r="F19" s="67">
        <f>+F16*-$E$8</f>
        <v>-22000</v>
      </c>
      <c r="G19" s="67"/>
      <c r="H19" s="67">
        <f>+H16*-$E$8</f>
        <v>-20000</v>
      </c>
      <c r="I19" s="67"/>
      <c r="J19" s="67">
        <f>+J16*-$E$8</f>
        <v>-18000</v>
      </c>
      <c r="K19" s="68"/>
    </row>
    <row r="20" spans="3:11" x14ac:dyDescent="0.25">
      <c r="C20" s="10" t="s">
        <v>35</v>
      </c>
      <c r="D20" s="6" t="s">
        <v>25</v>
      </c>
      <c r="E20" s="5" t="s">
        <v>58</v>
      </c>
      <c r="F20" s="67">
        <f>+(F16+F18+F19)*-$E$4</f>
        <v>-218460</v>
      </c>
      <c r="G20" s="67"/>
      <c r="H20" s="67">
        <f>+(H16+H18+H19)*-$E$4</f>
        <v>-198600</v>
      </c>
      <c r="I20" s="67"/>
      <c r="J20" s="67">
        <f>+(J16+J18+J19)*-$E$4</f>
        <v>-178740</v>
      </c>
      <c r="K20" s="68"/>
    </row>
    <row r="21" spans="3:11" x14ac:dyDescent="0.25">
      <c r="C21" s="10" t="s">
        <v>69</v>
      </c>
      <c r="D21" s="6" t="s">
        <v>26</v>
      </c>
      <c r="E21" s="5" t="s">
        <v>59</v>
      </c>
      <c r="F21" s="67">
        <f>+F18+F20+F19</f>
        <v>-295460</v>
      </c>
      <c r="G21" s="67"/>
      <c r="H21" s="67">
        <f>+H18+H20+H19</f>
        <v>-268600</v>
      </c>
      <c r="I21" s="67"/>
      <c r="J21" s="67">
        <f>+J18+J20+J19</f>
        <v>-241740</v>
      </c>
      <c r="K21" s="68"/>
    </row>
    <row r="22" spans="3:11" x14ac:dyDescent="0.25">
      <c r="C22" s="69"/>
      <c r="D22" s="70"/>
      <c r="E22" s="70"/>
      <c r="F22" s="70"/>
      <c r="G22" s="70"/>
      <c r="H22" s="70"/>
      <c r="I22" s="70"/>
      <c r="J22" s="70"/>
      <c r="K22" s="71"/>
    </row>
    <row r="23" spans="3:11" x14ac:dyDescent="0.25">
      <c r="C23" s="10" t="s">
        <v>43</v>
      </c>
      <c r="D23" s="6" t="s">
        <v>27</v>
      </c>
      <c r="E23" s="5" t="s">
        <v>67</v>
      </c>
      <c r="F23" s="65">
        <f>F14+F21</f>
        <v>11704540</v>
      </c>
      <c r="G23" s="65"/>
      <c r="H23" s="65">
        <f>H14+H21</f>
        <v>9731400</v>
      </c>
      <c r="I23" s="65"/>
      <c r="J23" s="65">
        <f>J14+J21</f>
        <v>7758260</v>
      </c>
      <c r="K23" s="66"/>
    </row>
    <row r="24" spans="3:11" ht="45" x14ac:dyDescent="0.25">
      <c r="C24" s="10" t="s">
        <v>71</v>
      </c>
      <c r="D24" s="6" t="s">
        <v>28</v>
      </c>
      <c r="E24" s="5"/>
      <c r="F24" s="65">
        <f>F12</f>
        <v>10000000</v>
      </c>
      <c r="G24" s="65"/>
      <c r="H24" s="65">
        <f>H12</f>
        <v>10000000</v>
      </c>
      <c r="I24" s="65"/>
      <c r="J24" s="65">
        <f>J12</f>
        <v>10000000</v>
      </c>
      <c r="K24" s="66"/>
    </row>
    <row r="25" spans="3:11" x14ac:dyDescent="0.25">
      <c r="C25" s="13" t="s">
        <v>72</v>
      </c>
      <c r="D25" s="6" t="s">
        <v>45</v>
      </c>
      <c r="E25" s="9" t="s">
        <v>70</v>
      </c>
      <c r="F25" s="65">
        <f>(F24*$E$7)</f>
        <v>800000</v>
      </c>
      <c r="G25" s="65"/>
      <c r="H25" s="65">
        <f>(H24*$E$7)</f>
        <v>800000</v>
      </c>
      <c r="I25" s="65"/>
      <c r="J25" s="65">
        <f>(J24*$E$7)</f>
        <v>800000</v>
      </c>
      <c r="K25" s="66"/>
    </row>
    <row r="26" spans="3:11" ht="45" x14ac:dyDescent="0.25">
      <c r="C26" s="10" t="s">
        <v>73</v>
      </c>
      <c r="D26" s="6" t="s">
        <v>46</v>
      </c>
      <c r="E26" s="5" t="s">
        <v>74</v>
      </c>
      <c r="F26" s="99" t="str">
        <f>IF(F23&gt;(F24+F25),("Yes"),("No Pfee"))</f>
        <v>Yes</v>
      </c>
      <c r="G26" s="99"/>
      <c r="H26" s="99" t="str">
        <f>IF(H23&gt;(H24+H25),("Yes"),("No Pfee"))</f>
        <v>No Pfee</v>
      </c>
      <c r="I26" s="99"/>
      <c r="J26" s="99" t="str">
        <f>IF(J23&gt;(J24+J25),("Yes"),("No Pfee"))</f>
        <v>No Pfee</v>
      </c>
      <c r="K26" s="100"/>
    </row>
    <row r="27" spans="3:11" x14ac:dyDescent="0.25">
      <c r="C27" s="111" t="s">
        <v>44</v>
      </c>
      <c r="D27" s="112"/>
      <c r="E27" s="112"/>
      <c r="F27" s="112"/>
      <c r="G27" s="112"/>
      <c r="H27" s="112"/>
      <c r="I27" s="112"/>
      <c r="J27" s="112"/>
      <c r="K27" s="113"/>
    </row>
    <row r="28" spans="3:11" x14ac:dyDescent="0.25">
      <c r="C28" s="10" t="s">
        <v>53</v>
      </c>
      <c r="D28" s="6" t="s">
        <v>47</v>
      </c>
      <c r="E28" s="5" t="s">
        <v>75</v>
      </c>
      <c r="F28" s="65">
        <f>+IF(F26="Yes",(F23-F24-F25),(0))</f>
        <v>904540</v>
      </c>
      <c r="G28" s="65"/>
      <c r="H28" s="99">
        <f>+IF(H26="Yes",(H23-H24-H25),(0))</f>
        <v>0</v>
      </c>
      <c r="I28" s="99"/>
      <c r="J28" s="99">
        <f>+IF(J26="Yes",(J23-J24-J25),(0))</f>
        <v>0</v>
      </c>
      <c r="K28" s="100"/>
    </row>
    <row r="29" spans="3:11" x14ac:dyDescent="0.25">
      <c r="C29" s="52" t="s">
        <v>48</v>
      </c>
      <c r="D29" s="22" t="s">
        <v>49</v>
      </c>
      <c r="E29" s="53" t="s">
        <v>76</v>
      </c>
      <c r="F29" s="101">
        <f>+F28*-$E$6</f>
        <v>-180908</v>
      </c>
      <c r="G29" s="101"/>
      <c r="H29" s="102">
        <f>+H28*-$E$6</f>
        <v>0</v>
      </c>
      <c r="I29" s="102"/>
      <c r="J29" s="102">
        <f>+J28*-$E$6</f>
        <v>0</v>
      </c>
      <c r="K29" s="103"/>
    </row>
    <row r="30" spans="3:11" x14ac:dyDescent="0.25">
      <c r="C30" s="69"/>
      <c r="D30" s="70"/>
      <c r="E30" s="70"/>
      <c r="F30" s="70"/>
      <c r="G30" s="70"/>
      <c r="H30" s="70"/>
      <c r="I30" s="70"/>
      <c r="J30" s="70"/>
      <c r="K30" s="71"/>
    </row>
    <row r="31" spans="3:11" ht="30" x14ac:dyDescent="0.25">
      <c r="C31" s="39" t="s">
        <v>54</v>
      </c>
      <c r="D31" s="40" t="s">
        <v>50</v>
      </c>
      <c r="E31" s="45" t="s">
        <v>77</v>
      </c>
      <c r="F31" s="89">
        <f>+F23+F29</f>
        <v>11523632</v>
      </c>
      <c r="G31" s="89"/>
      <c r="H31" s="89">
        <f>+H23+H29</f>
        <v>9731400</v>
      </c>
      <c r="I31" s="89"/>
      <c r="J31" s="89">
        <f>+J23+J29</f>
        <v>7758260</v>
      </c>
      <c r="K31" s="96"/>
    </row>
    <row r="32" spans="3:11" x14ac:dyDescent="0.25">
      <c r="C32" s="36" t="s">
        <v>10</v>
      </c>
      <c r="D32" s="22" t="s">
        <v>52</v>
      </c>
      <c r="E32" s="23" t="s">
        <v>78</v>
      </c>
      <c r="F32" s="106">
        <f>+F31/F12-1</f>
        <v>0.15236319999999992</v>
      </c>
      <c r="G32" s="106"/>
      <c r="H32" s="106">
        <f>+H31/H12-1</f>
        <v>-2.6859999999999995E-2</v>
      </c>
      <c r="I32" s="106"/>
      <c r="J32" s="106">
        <f>+J31/J12-1</f>
        <v>-0.22417399999999998</v>
      </c>
      <c r="K32" s="107"/>
    </row>
    <row r="33" spans="2:13" x14ac:dyDescent="0.25">
      <c r="C33" s="69"/>
      <c r="D33" s="70"/>
      <c r="E33" s="70"/>
      <c r="F33" s="70"/>
      <c r="G33" s="70"/>
      <c r="H33" s="70"/>
      <c r="I33" s="70"/>
      <c r="J33" s="70"/>
      <c r="K33" s="71"/>
    </row>
    <row r="34" spans="2:13" ht="30" x14ac:dyDescent="0.25">
      <c r="C34" s="39" t="s">
        <v>105</v>
      </c>
      <c r="D34" s="40" t="s">
        <v>80</v>
      </c>
      <c r="E34" s="45" t="s">
        <v>87</v>
      </c>
      <c r="F34" s="89">
        <f>+MAX(F24,F31)</f>
        <v>11523632</v>
      </c>
      <c r="G34" s="89"/>
      <c r="H34" s="89">
        <f>+MAX(H24,H31)</f>
        <v>10000000</v>
      </c>
      <c r="I34" s="89"/>
      <c r="J34" s="89">
        <f>+MAX(J24,J31)</f>
        <v>10000000</v>
      </c>
      <c r="K34" s="96"/>
    </row>
    <row r="35" spans="2:13" ht="45.75" thickBot="1" x14ac:dyDescent="0.3">
      <c r="C35" s="37" t="s">
        <v>106</v>
      </c>
      <c r="D35" s="38" t="s">
        <v>80</v>
      </c>
      <c r="E35" s="46" t="s">
        <v>86</v>
      </c>
      <c r="F35" s="104">
        <f>+MAX(F23,F24)</f>
        <v>11704540</v>
      </c>
      <c r="G35" s="104"/>
      <c r="H35" s="104">
        <f>+MAX(H23,H24)</f>
        <v>10000000</v>
      </c>
      <c r="I35" s="104"/>
      <c r="J35" s="104">
        <f>+MAX(J23,J24)</f>
        <v>10000000</v>
      </c>
      <c r="K35" s="105"/>
    </row>
    <row r="37" spans="2:13" ht="15.75" thickBot="1" x14ac:dyDescent="0.3">
      <c r="B37" s="3"/>
      <c r="C37" s="27" t="s">
        <v>88</v>
      </c>
      <c r="F37" s="1"/>
      <c r="G37" s="1"/>
      <c r="H37" s="1"/>
      <c r="I37" s="1"/>
      <c r="J37" s="1"/>
      <c r="K37" s="1"/>
      <c r="L37" s="1"/>
      <c r="M37" s="1"/>
    </row>
    <row r="38" spans="2:13" ht="34.5" customHeight="1" thickBot="1" x14ac:dyDescent="0.3">
      <c r="B38" s="19">
        <v>1</v>
      </c>
      <c r="C38" s="80" t="s">
        <v>110</v>
      </c>
      <c r="D38" s="81"/>
      <c r="E38" s="81"/>
      <c r="F38" s="81"/>
      <c r="G38" s="81"/>
      <c r="H38" s="81"/>
      <c r="I38" s="81"/>
      <c r="J38" s="81"/>
      <c r="K38" s="81"/>
      <c r="L38" s="81"/>
      <c r="M38" s="82"/>
    </row>
    <row r="39" spans="2:13" ht="33.75" customHeight="1" thickBot="1" x14ac:dyDescent="0.3">
      <c r="B39" s="19">
        <f t="shared" ref="B39:B48" si="0">+B38+1</f>
        <v>2</v>
      </c>
      <c r="C39" s="80" t="s">
        <v>61</v>
      </c>
      <c r="D39" s="81"/>
      <c r="E39" s="81"/>
      <c r="F39" s="81"/>
      <c r="G39" s="81"/>
      <c r="H39" s="81"/>
      <c r="I39" s="81"/>
      <c r="J39" s="81"/>
      <c r="K39" s="81"/>
      <c r="L39" s="81"/>
      <c r="M39" s="82"/>
    </row>
    <row r="40" spans="2:13" ht="13.5" customHeight="1" thickBot="1" x14ac:dyDescent="0.3">
      <c r="B40" s="19">
        <f t="shared" si="0"/>
        <v>3</v>
      </c>
      <c r="C40" s="80" t="s">
        <v>60</v>
      </c>
      <c r="D40" s="81"/>
      <c r="E40" s="81"/>
      <c r="F40" s="81"/>
      <c r="G40" s="81"/>
      <c r="H40" s="81"/>
      <c r="I40" s="81"/>
      <c r="J40" s="81"/>
      <c r="K40" s="81"/>
      <c r="L40" s="81"/>
      <c r="M40" s="82"/>
    </row>
    <row r="41" spans="2:13" ht="35.25" customHeight="1" thickBot="1" x14ac:dyDescent="0.3">
      <c r="B41" s="19">
        <f t="shared" si="0"/>
        <v>4</v>
      </c>
      <c r="C41" s="80" t="s">
        <v>37</v>
      </c>
      <c r="D41" s="81"/>
      <c r="E41" s="81"/>
      <c r="F41" s="81"/>
      <c r="G41" s="81"/>
      <c r="H41" s="81"/>
      <c r="I41" s="81"/>
      <c r="J41" s="81"/>
      <c r="K41" s="81"/>
      <c r="L41" s="81"/>
      <c r="M41" s="82"/>
    </row>
    <row r="42" spans="2:13" ht="33" customHeight="1" thickBot="1" x14ac:dyDescent="0.3">
      <c r="B42" s="19">
        <f t="shared" si="0"/>
        <v>5</v>
      </c>
      <c r="C42" s="80" t="s">
        <v>62</v>
      </c>
      <c r="D42" s="81"/>
      <c r="E42" s="81"/>
      <c r="F42" s="81"/>
      <c r="G42" s="81"/>
      <c r="H42" s="81"/>
      <c r="I42" s="81"/>
      <c r="J42" s="81"/>
      <c r="K42" s="81"/>
      <c r="L42" s="81"/>
      <c r="M42" s="82"/>
    </row>
    <row r="43" spans="2:13" ht="15.75" thickBot="1" x14ac:dyDescent="0.3">
      <c r="B43" s="19">
        <f t="shared" si="0"/>
        <v>6</v>
      </c>
      <c r="C43" s="80" t="s">
        <v>51</v>
      </c>
      <c r="D43" s="81"/>
      <c r="E43" s="81"/>
      <c r="F43" s="81"/>
      <c r="G43" s="81"/>
      <c r="H43" s="81"/>
      <c r="I43" s="81"/>
      <c r="J43" s="81"/>
      <c r="K43" s="81"/>
      <c r="L43" s="81"/>
      <c r="M43" s="82"/>
    </row>
    <row r="44" spans="2:13" ht="45.75" customHeight="1" thickBot="1" x14ac:dyDescent="0.3">
      <c r="B44" s="19">
        <f t="shared" si="0"/>
        <v>7</v>
      </c>
      <c r="C44" s="80" t="s">
        <v>103</v>
      </c>
      <c r="D44" s="81"/>
      <c r="E44" s="81"/>
      <c r="F44" s="81"/>
      <c r="G44" s="81"/>
      <c r="H44" s="81"/>
      <c r="I44" s="81"/>
      <c r="J44" s="81"/>
      <c r="K44" s="81"/>
      <c r="L44" s="81"/>
      <c r="M44" s="82"/>
    </row>
    <row r="45" spans="2:13" ht="48" customHeight="1" thickBot="1" x14ac:dyDescent="0.3">
      <c r="B45" s="19">
        <f t="shared" si="0"/>
        <v>8</v>
      </c>
      <c r="C45" s="80" t="s">
        <v>102</v>
      </c>
      <c r="D45" s="81"/>
      <c r="E45" s="81"/>
      <c r="F45" s="81"/>
      <c r="G45" s="81"/>
      <c r="H45" s="81"/>
      <c r="I45" s="81"/>
      <c r="J45" s="81"/>
      <c r="K45" s="81"/>
      <c r="L45" s="81"/>
      <c r="M45" s="82"/>
    </row>
    <row r="46" spans="2:13" ht="15" customHeight="1" thickBot="1" x14ac:dyDescent="0.3">
      <c r="B46" s="19">
        <f t="shared" si="0"/>
        <v>9</v>
      </c>
      <c r="C46" s="108" t="s">
        <v>82</v>
      </c>
      <c r="D46" s="109"/>
      <c r="E46" s="109"/>
      <c r="F46" s="109"/>
      <c r="G46" s="109"/>
      <c r="H46" s="109"/>
      <c r="I46" s="109"/>
      <c r="J46" s="109"/>
      <c r="K46" s="109"/>
      <c r="L46" s="109"/>
      <c r="M46" s="110"/>
    </row>
    <row r="47" spans="2:13" ht="15" customHeight="1" thickBot="1" x14ac:dyDescent="0.3">
      <c r="B47" s="19">
        <f t="shared" si="0"/>
        <v>10</v>
      </c>
      <c r="C47" s="108" t="s">
        <v>85</v>
      </c>
      <c r="D47" s="109"/>
      <c r="E47" s="109"/>
      <c r="F47" s="109"/>
      <c r="G47" s="109"/>
      <c r="H47" s="109"/>
      <c r="I47" s="109"/>
      <c r="J47" s="109"/>
      <c r="K47" s="109"/>
      <c r="L47" s="109"/>
      <c r="M47" s="110"/>
    </row>
    <row r="48" spans="2:13" ht="15" customHeight="1" thickBot="1" x14ac:dyDescent="0.3">
      <c r="B48" s="19">
        <f t="shared" si="0"/>
        <v>11</v>
      </c>
      <c r="C48" s="108" t="s">
        <v>64</v>
      </c>
      <c r="D48" s="109"/>
      <c r="E48" s="109"/>
      <c r="F48" s="109"/>
      <c r="G48" s="109"/>
      <c r="H48" s="109"/>
      <c r="I48" s="109"/>
      <c r="J48" s="109"/>
      <c r="K48" s="109"/>
      <c r="L48" s="109"/>
      <c r="M48" s="110"/>
    </row>
    <row r="49" spans="2:13" ht="15" customHeight="1" thickBot="1" x14ac:dyDescent="0.3">
      <c r="B49" s="19">
        <v>12</v>
      </c>
      <c r="C49" s="108" t="s">
        <v>104</v>
      </c>
      <c r="D49" s="109"/>
      <c r="E49" s="109"/>
      <c r="F49" s="109"/>
      <c r="G49" s="109"/>
      <c r="H49" s="109"/>
      <c r="I49" s="109"/>
      <c r="J49" s="109"/>
      <c r="K49" s="109"/>
      <c r="L49" s="109"/>
      <c r="M49" s="110"/>
    </row>
  </sheetData>
  <mergeCells count="82">
    <mergeCell ref="E8:K8"/>
    <mergeCell ref="C30:K30"/>
    <mergeCell ref="C33:K33"/>
    <mergeCell ref="E3:K3"/>
    <mergeCell ref="E4:K4"/>
    <mergeCell ref="E5:K5"/>
    <mergeCell ref="E6:K6"/>
    <mergeCell ref="E7:K7"/>
    <mergeCell ref="C27:K27"/>
    <mergeCell ref="F28:G28"/>
    <mergeCell ref="H28:I28"/>
    <mergeCell ref="J28:K28"/>
    <mergeCell ref="F25:G25"/>
    <mergeCell ref="H25:I25"/>
    <mergeCell ref="J25:K25"/>
    <mergeCell ref="H26:I26"/>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J32:K32"/>
    <mergeCell ref="H32:I32"/>
    <mergeCell ref="F32:G32"/>
    <mergeCell ref="J26:K26"/>
    <mergeCell ref="F23:G23"/>
    <mergeCell ref="H19:I19"/>
    <mergeCell ref="J19:K19"/>
    <mergeCell ref="J31:K31"/>
    <mergeCell ref="J23:K23"/>
    <mergeCell ref="H21:I21"/>
    <mergeCell ref="H31:I31"/>
    <mergeCell ref="C22:K22"/>
    <mergeCell ref="F31:G31"/>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49"/>
  <sheetViews>
    <sheetView showGridLines="0" zoomScaleNormal="100" workbookViewId="0">
      <selection activeCell="J26" sqref="J26:K26"/>
    </sheetView>
  </sheetViews>
  <sheetFormatPr defaultColWidth="8.7109375" defaultRowHeight="15" x14ac:dyDescent="0.25"/>
  <cols>
    <col min="1" max="1" width="8.7109375" style="2"/>
    <col min="2" max="2" width="5.42578125" style="17" customWidth="1"/>
    <col min="3" max="3" width="51.42578125" style="1" customWidth="1"/>
    <col min="4" max="4" width="4.5703125" style="3" customWidth="1"/>
    <col min="5" max="5" width="17.7109375" style="1" customWidth="1"/>
    <col min="6" max="6" width="10.42578125" style="2" bestFit="1" customWidth="1"/>
    <col min="7" max="7" width="11" style="2" customWidth="1"/>
    <col min="8" max="8" width="10.7109375" style="2" bestFit="1" customWidth="1"/>
    <col min="9" max="9" width="9" style="2" customWidth="1"/>
    <col min="10" max="10" width="13.28515625" style="2" customWidth="1"/>
    <col min="11" max="11" width="8.28515625" style="2" customWidth="1"/>
    <col min="12" max="12" width="9.7109375" style="2" bestFit="1" customWidth="1"/>
    <col min="13" max="16384" width="8.7109375" style="2"/>
  </cols>
  <sheetData>
    <row r="2" spans="3:11" ht="15.75" thickBot="1" x14ac:dyDescent="0.3">
      <c r="C2" s="27" t="s">
        <v>0</v>
      </c>
      <c r="D2" s="28"/>
      <c r="E2" s="27"/>
    </row>
    <row r="3" spans="3:11" x14ac:dyDescent="0.25">
      <c r="C3" s="41" t="s">
        <v>2</v>
      </c>
      <c r="D3" s="42" t="s">
        <v>15</v>
      </c>
      <c r="E3" s="74">
        <v>10000000</v>
      </c>
      <c r="F3" s="74"/>
      <c r="G3" s="74"/>
      <c r="H3" s="74"/>
      <c r="I3" s="74"/>
      <c r="J3" s="74"/>
      <c r="K3" s="75"/>
    </row>
    <row r="4" spans="3:11" x14ac:dyDescent="0.25">
      <c r="C4" s="10" t="s">
        <v>1</v>
      </c>
      <c r="D4" s="6" t="s">
        <v>16</v>
      </c>
      <c r="E4" s="76">
        <v>0</v>
      </c>
      <c r="F4" s="76"/>
      <c r="G4" s="76"/>
      <c r="H4" s="76"/>
      <c r="I4" s="76"/>
      <c r="J4" s="76"/>
      <c r="K4" s="77"/>
    </row>
    <row r="5" spans="3:11" x14ac:dyDescent="0.25">
      <c r="C5" s="10" t="s">
        <v>6</v>
      </c>
      <c r="D5" s="6" t="s">
        <v>17</v>
      </c>
      <c r="E5" s="76">
        <v>5.0000000000000001E-3</v>
      </c>
      <c r="F5" s="76"/>
      <c r="G5" s="76"/>
      <c r="H5" s="76"/>
      <c r="I5" s="76"/>
      <c r="J5" s="76"/>
      <c r="K5" s="77"/>
    </row>
    <row r="6" spans="3:11" x14ac:dyDescent="0.25">
      <c r="C6" s="10" t="s">
        <v>39</v>
      </c>
      <c r="D6" s="6" t="s">
        <v>41</v>
      </c>
      <c r="E6" s="76">
        <v>0.2</v>
      </c>
      <c r="F6" s="76"/>
      <c r="G6" s="76"/>
      <c r="H6" s="76"/>
      <c r="I6" s="76"/>
      <c r="J6" s="76"/>
      <c r="K6" s="77"/>
    </row>
    <row r="7" spans="3:11" x14ac:dyDescent="0.25">
      <c r="C7" s="10" t="s">
        <v>40</v>
      </c>
      <c r="D7" s="6" t="s">
        <v>42</v>
      </c>
      <c r="E7" s="76">
        <v>0.08</v>
      </c>
      <c r="F7" s="76"/>
      <c r="G7" s="76"/>
      <c r="H7" s="76"/>
      <c r="I7" s="76"/>
      <c r="J7" s="76"/>
      <c r="K7" s="77"/>
    </row>
    <row r="8" spans="3:11" ht="15.75" thickBot="1" x14ac:dyDescent="0.3">
      <c r="C8" s="37" t="s">
        <v>56</v>
      </c>
      <c r="D8" s="38" t="s">
        <v>65</v>
      </c>
      <c r="E8" s="78">
        <v>2E-3</v>
      </c>
      <c r="F8" s="78"/>
      <c r="G8" s="78"/>
      <c r="H8" s="78"/>
      <c r="I8" s="78"/>
      <c r="J8" s="78"/>
      <c r="K8" s="79"/>
    </row>
    <row r="9" spans="3:11" ht="15.75" thickBot="1" x14ac:dyDescent="0.3">
      <c r="F9" s="15"/>
    </row>
    <row r="10" spans="3:11" ht="15.75" thickBot="1" x14ac:dyDescent="0.3">
      <c r="C10" s="90" t="s">
        <v>79</v>
      </c>
      <c r="D10" s="91"/>
      <c r="E10" s="114"/>
      <c r="F10" s="97" t="s">
        <v>12</v>
      </c>
      <c r="G10" s="98"/>
      <c r="H10" s="97" t="s">
        <v>13</v>
      </c>
      <c r="I10" s="98"/>
      <c r="J10" s="97" t="s">
        <v>14</v>
      </c>
      <c r="K10" s="98"/>
    </row>
    <row r="11" spans="3:11" ht="15.75" thickBot="1" x14ac:dyDescent="0.3">
      <c r="C11" s="93"/>
      <c r="D11" s="94"/>
      <c r="E11" s="115"/>
      <c r="F11" s="56" t="s">
        <v>3</v>
      </c>
      <c r="G11" s="49">
        <v>0.2</v>
      </c>
      <c r="H11" s="48" t="s">
        <v>5</v>
      </c>
      <c r="I11" s="50">
        <v>0</v>
      </c>
      <c r="J11" s="48" t="s">
        <v>4</v>
      </c>
      <c r="K11" s="51">
        <v>-0.2</v>
      </c>
    </row>
    <row r="12" spans="3:11" x14ac:dyDescent="0.25">
      <c r="C12" s="39" t="s">
        <v>11</v>
      </c>
      <c r="D12" s="40" t="s">
        <v>19</v>
      </c>
      <c r="E12" s="47" t="s">
        <v>29</v>
      </c>
      <c r="F12" s="89">
        <f>+$E$3</f>
        <v>10000000</v>
      </c>
      <c r="G12" s="89"/>
      <c r="H12" s="89">
        <f>+$E$3</f>
        <v>10000000</v>
      </c>
      <c r="I12" s="89"/>
      <c r="J12" s="89">
        <f>+$E$3</f>
        <v>10000000</v>
      </c>
      <c r="K12" s="96"/>
    </row>
    <row r="13" spans="3:11" x14ac:dyDescent="0.25">
      <c r="C13" s="10" t="s">
        <v>33</v>
      </c>
      <c r="D13" s="6" t="s">
        <v>20</v>
      </c>
      <c r="E13" s="7" t="s">
        <v>30</v>
      </c>
      <c r="F13" s="65">
        <f>F12*G11</f>
        <v>2000000</v>
      </c>
      <c r="G13" s="65"/>
      <c r="H13" s="65">
        <f>H12*I11</f>
        <v>0</v>
      </c>
      <c r="I13" s="65"/>
      <c r="J13" s="65">
        <f>J12*K11</f>
        <v>-2000000</v>
      </c>
      <c r="K13" s="66"/>
    </row>
    <row r="14" spans="3:11" x14ac:dyDescent="0.25">
      <c r="C14" s="10" t="s">
        <v>7</v>
      </c>
      <c r="D14" s="6" t="s">
        <v>21</v>
      </c>
      <c r="E14" s="7" t="s">
        <v>31</v>
      </c>
      <c r="F14" s="65">
        <f>F12+F13</f>
        <v>12000000</v>
      </c>
      <c r="G14" s="65"/>
      <c r="H14" s="65">
        <f>H12+H13</f>
        <v>10000000</v>
      </c>
      <c r="I14" s="65"/>
      <c r="J14" s="65">
        <f>J12+J13</f>
        <v>8000000</v>
      </c>
      <c r="K14" s="66"/>
    </row>
    <row r="15" spans="3:11" x14ac:dyDescent="0.25">
      <c r="C15" s="69"/>
      <c r="D15" s="70"/>
      <c r="E15" s="70"/>
      <c r="F15" s="70"/>
      <c r="G15" s="70"/>
      <c r="H15" s="70"/>
      <c r="I15" s="70"/>
      <c r="J15" s="70"/>
      <c r="K15" s="71"/>
    </row>
    <row r="16" spans="3:11" x14ac:dyDescent="0.25">
      <c r="C16" s="10" t="s">
        <v>18</v>
      </c>
      <c r="D16" s="6" t="s">
        <v>22</v>
      </c>
      <c r="E16" s="7" t="s">
        <v>32</v>
      </c>
      <c r="F16" s="65">
        <f>(F12+F14)/2</f>
        <v>11000000</v>
      </c>
      <c r="G16" s="65"/>
      <c r="H16" s="65">
        <f>(H12+H14)/2</f>
        <v>10000000</v>
      </c>
      <c r="I16" s="65"/>
      <c r="J16" s="65">
        <f>(J12+J14)/2</f>
        <v>9000000</v>
      </c>
      <c r="K16" s="66"/>
    </row>
    <row r="17" spans="3:11" x14ac:dyDescent="0.25">
      <c r="C17" s="69"/>
      <c r="D17" s="70"/>
      <c r="E17" s="70"/>
      <c r="F17" s="70"/>
      <c r="G17" s="70"/>
      <c r="H17" s="70"/>
      <c r="I17" s="70"/>
      <c r="J17" s="70"/>
      <c r="K17" s="71"/>
    </row>
    <row r="18" spans="3:11" x14ac:dyDescent="0.25">
      <c r="C18" s="10" t="s">
        <v>34</v>
      </c>
      <c r="D18" s="6" t="s">
        <v>23</v>
      </c>
      <c r="E18" s="7" t="s">
        <v>55</v>
      </c>
      <c r="F18" s="67">
        <f>+F16*-$E$5</f>
        <v>-55000</v>
      </c>
      <c r="G18" s="67"/>
      <c r="H18" s="67">
        <f>+H16*-$E$5</f>
        <v>-50000</v>
      </c>
      <c r="I18" s="67"/>
      <c r="J18" s="67">
        <f>+J16*-$E$5</f>
        <v>-45000</v>
      </c>
      <c r="K18" s="68"/>
    </row>
    <row r="19" spans="3:11" x14ac:dyDescent="0.25">
      <c r="C19" s="10" t="s">
        <v>56</v>
      </c>
      <c r="D19" s="6" t="s">
        <v>24</v>
      </c>
      <c r="E19" s="7" t="s">
        <v>66</v>
      </c>
      <c r="F19" s="67">
        <f>+F16*-$E$8</f>
        <v>-22000</v>
      </c>
      <c r="G19" s="67"/>
      <c r="H19" s="67">
        <f>+H16*-$E$8</f>
        <v>-20000</v>
      </c>
      <c r="I19" s="67"/>
      <c r="J19" s="67">
        <f>+J16*-$E$8</f>
        <v>-18000</v>
      </c>
      <c r="K19" s="68"/>
    </row>
    <row r="20" spans="3:11" x14ac:dyDescent="0.25">
      <c r="C20" s="10" t="s">
        <v>35</v>
      </c>
      <c r="D20" s="6" t="s">
        <v>25</v>
      </c>
      <c r="E20" s="5" t="s">
        <v>58</v>
      </c>
      <c r="F20" s="67">
        <f>+(F16+F18+F19)*-$E$4</f>
        <v>0</v>
      </c>
      <c r="G20" s="67"/>
      <c r="H20" s="67">
        <f>+(H16+H18+H19)*-$E$4</f>
        <v>0</v>
      </c>
      <c r="I20" s="67"/>
      <c r="J20" s="67">
        <f>+(J16+J18+J19)*-$E$4</f>
        <v>0</v>
      </c>
      <c r="K20" s="68"/>
    </row>
    <row r="21" spans="3:11" x14ac:dyDescent="0.25">
      <c r="C21" s="10" t="s">
        <v>69</v>
      </c>
      <c r="D21" s="6" t="s">
        <v>26</v>
      </c>
      <c r="E21" s="5" t="s">
        <v>59</v>
      </c>
      <c r="F21" s="67">
        <f>+F18+F20+F19</f>
        <v>-77000</v>
      </c>
      <c r="G21" s="67"/>
      <c r="H21" s="67">
        <f>+H18+H20+H19</f>
        <v>-70000</v>
      </c>
      <c r="I21" s="67"/>
      <c r="J21" s="67">
        <f>+J18+J20+J19</f>
        <v>-63000</v>
      </c>
      <c r="K21" s="68"/>
    </row>
    <row r="22" spans="3:11" x14ac:dyDescent="0.25">
      <c r="C22" s="69"/>
      <c r="D22" s="70"/>
      <c r="E22" s="70"/>
      <c r="F22" s="70"/>
      <c r="G22" s="70"/>
      <c r="H22" s="70"/>
      <c r="I22" s="70"/>
      <c r="J22" s="70"/>
      <c r="K22" s="71"/>
    </row>
    <row r="23" spans="3:11" x14ac:dyDescent="0.25">
      <c r="C23" s="10" t="s">
        <v>43</v>
      </c>
      <c r="D23" s="6" t="s">
        <v>27</v>
      </c>
      <c r="E23" s="5" t="s">
        <v>67</v>
      </c>
      <c r="F23" s="65">
        <f>F14+F21</f>
        <v>11923000</v>
      </c>
      <c r="G23" s="65"/>
      <c r="H23" s="65">
        <f>H14+H21</f>
        <v>9930000</v>
      </c>
      <c r="I23" s="65"/>
      <c r="J23" s="65">
        <f>J14+J21</f>
        <v>7937000</v>
      </c>
      <c r="K23" s="66"/>
    </row>
    <row r="24" spans="3:11" ht="45" x14ac:dyDescent="0.25">
      <c r="C24" s="10" t="s">
        <v>71</v>
      </c>
      <c r="D24" s="6" t="s">
        <v>28</v>
      </c>
      <c r="E24" s="5"/>
      <c r="F24" s="65">
        <f>F12</f>
        <v>10000000</v>
      </c>
      <c r="G24" s="65"/>
      <c r="H24" s="65">
        <f>H12</f>
        <v>10000000</v>
      </c>
      <c r="I24" s="65"/>
      <c r="J24" s="65">
        <f>J12</f>
        <v>10000000</v>
      </c>
      <c r="K24" s="66"/>
    </row>
    <row r="25" spans="3:11" ht="30" x14ac:dyDescent="0.25">
      <c r="C25" s="13" t="s">
        <v>72</v>
      </c>
      <c r="D25" s="6" t="s">
        <v>45</v>
      </c>
      <c r="E25" s="9" t="s">
        <v>70</v>
      </c>
      <c r="F25" s="65">
        <f>(F24*$E$7)</f>
        <v>800000</v>
      </c>
      <c r="G25" s="65"/>
      <c r="H25" s="65">
        <f>(H24*$E$7)</f>
        <v>800000</v>
      </c>
      <c r="I25" s="65"/>
      <c r="J25" s="65">
        <f>(J24*$E$7)</f>
        <v>800000</v>
      </c>
      <c r="K25" s="66"/>
    </row>
    <row r="26" spans="3:11" ht="45" x14ac:dyDescent="0.25">
      <c r="C26" s="10" t="s">
        <v>73</v>
      </c>
      <c r="D26" s="6" t="s">
        <v>46</v>
      </c>
      <c r="E26" s="5" t="s">
        <v>74</v>
      </c>
      <c r="F26" s="99" t="str">
        <f>IF(F23&gt;(F24+F25),("Yes"),("No Pfee"))</f>
        <v>Yes</v>
      </c>
      <c r="G26" s="99"/>
      <c r="H26" s="99" t="str">
        <f>IF(H23&gt;(H24+H25),("Yes"),("No Pfee"))</f>
        <v>No Pfee</v>
      </c>
      <c r="I26" s="99"/>
      <c r="J26" s="99" t="str">
        <f>IF(J23&gt;(J24+J25),("Yes"),("No Pfee"))</f>
        <v>No Pfee</v>
      </c>
      <c r="K26" s="100"/>
    </row>
    <row r="27" spans="3:11" x14ac:dyDescent="0.25">
      <c r="C27" s="111" t="s">
        <v>44</v>
      </c>
      <c r="D27" s="112"/>
      <c r="E27" s="112"/>
      <c r="F27" s="112"/>
      <c r="G27" s="112"/>
      <c r="H27" s="112"/>
      <c r="I27" s="112"/>
      <c r="J27" s="112"/>
      <c r="K27" s="113"/>
    </row>
    <row r="28" spans="3:11" x14ac:dyDescent="0.25">
      <c r="C28" s="10" t="s">
        <v>53</v>
      </c>
      <c r="D28" s="6" t="s">
        <v>47</v>
      </c>
      <c r="E28" s="5" t="s">
        <v>75</v>
      </c>
      <c r="F28" s="65">
        <f>+IF(F26="Yes",(F23-F24-F25),(0))</f>
        <v>1123000</v>
      </c>
      <c r="G28" s="65"/>
      <c r="H28" s="65">
        <f>+IF(H26="Yes",(H23-H24-H25),(0))</f>
        <v>0</v>
      </c>
      <c r="I28" s="65"/>
      <c r="J28" s="65">
        <f>+IF(J26="Yes",(J23-J24-J25),(0))</f>
        <v>0</v>
      </c>
      <c r="K28" s="66"/>
    </row>
    <row r="29" spans="3:11" x14ac:dyDescent="0.25">
      <c r="C29" s="13" t="s">
        <v>48</v>
      </c>
      <c r="D29" s="6" t="s">
        <v>49</v>
      </c>
      <c r="E29" s="9" t="s">
        <v>76</v>
      </c>
      <c r="F29" s="67">
        <f>+F28*-$E$6</f>
        <v>-224600</v>
      </c>
      <c r="G29" s="67"/>
      <c r="H29" s="65">
        <f>+H28*-$E$6</f>
        <v>0</v>
      </c>
      <c r="I29" s="65"/>
      <c r="J29" s="65">
        <f>+J28*-$E$6</f>
        <v>0</v>
      </c>
      <c r="K29" s="66"/>
    </row>
    <row r="30" spans="3:11" x14ac:dyDescent="0.25">
      <c r="C30" s="12"/>
      <c r="D30" s="6"/>
      <c r="E30" s="6"/>
      <c r="F30" s="6"/>
      <c r="G30" s="6"/>
      <c r="H30" s="6"/>
      <c r="I30" s="6"/>
      <c r="J30" s="6"/>
      <c r="K30" s="25"/>
    </row>
    <row r="31" spans="3:11" ht="30" x14ac:dyDescent="0.25">
      <c r="C31" s="10" t="s">
        <v>54</v>
      </c>
      <c r="D31" s="6" t="s">
        <v>50</v>
      </c>
      <c r="E31" s="5" t="s">
        <v>77</v>
      </c>
      <c r="F31" s="65">
        <f>+F23+F29</f>
        <v>11698400</v>
      </c>
      <c r="G31" s="65"/>
      <c r="H31" s="65">
        <f>+H23+H29</f>
        <v>9930000</v>
      </c>
      <c r="I31" s="65"/>
      <c r="J31" s="65">
        <f>+J23+J29</f>
        <v>7937000</v>
      </c>
      <c r="K31" s="66"/>
    </row>
    <row r="32" spans="3:11" x14ac:dyDescent="0.25">
      <c r="C32" s="10" t="s">
        <v>10</v>
      </c>
      <c r="D32" s="6" t="s">
        <v>52</v>
      </c>
      <c r="E32" s="5" t="s">
        <v>78</v>
      </c>
      <c r="F32" s="72">
        <f>+F31/F12-1</f>
        <v>0.16983999999999999</v>
      </c>
      <c r="G32" s="72"/>
      <c r="H32" s="72">
        <f>+H31/H12-1</f>
        <v>-7.0000000000000062E-3</v>
      </c>
      <c r="I32" s="72"/>
      <c r="J32" s="72">
        <f>+J31/J12-1</f>
        <v>-0.20630000000000004</v>
      </c>
      <c r="K32" s="73"/>
    </row>
    <row r="33" spans="2:12" x14ac:dyDescent="0.25">
      <c r="C33" s="12"/>
      <c r="D33" s="6"/>
      <c r="E33" s="6"/>
      <c r="F33" s="6"/>
      <c r="G33" s="6"/>
      <c r="H33" s="6"/>
      <c r="I33" s="6"/>
      <c r="J33" s="6"/>
      <c r="K33" s="25"/>
    </row>
    <row r="34" spans="2:12" ht="45" x14ac:dyDescent="0.25">
      <c r="C34" s="10" t="s">
        <v>107</v>
      </c>
      <c r="D34" s="6" t="s">
        <v>80</v>
      </c>
      <c r="E34" s="5" t="s">
        <v>87</v>
      </c>
      <c r="F34" s="65">
        <f>MAX(F24,F31)</f>
        <v>11698400</v>
      </c>
      <c r="G34" s="65"/>
      <c r="H34" s="65">
        <f>MAX(H24,H31)</f>
        <v>10000000</v>
      </c>
      <c r="I34" s="65"/>
      <c r="J34" s="65">
        <f>MAX(J24,J31)</f>
        <v>10000000</v>
      </c>
      <c r="K34" s="66"/>
    </row>
    <row r="35" spans="2:12" ht="45.75" thickBot="1" x14ac:dyDescent="0.3">
      <c r="C35" s="37" t="s">
        <v>108</v>
      </c>
      <c r="D35" s="38" t="s">
        <v>80</v>
      </c>
      <c r="E35" s="46" t="s">
        <v>86</v>
      </c>
      <c r="F35" s="104">
        <f>MAX(F24,F23)</f>
        <v>11923000</v>
      </c>
      <c r="G35" s="104"/>
      <c r="H35" s="104">
        <f>MAX(H24,H23)</f>
        <v>10000000</v>
      </c>
      <c r="I35" s="104"/>
      <c r="J35" s="104">
        <f>MAX(J24,J23)</f>
        <v>10000000</v>
      </c>
      <c r="K35" s="105"/>
    </row>
    <row r="36" spans="2:12" x14ac:dyDescent="0.25">
      <c r="C36" s="14"/>
      <c r="F36" s="16"/>
      <c r="G36" s="16"/>
      <c r="H36" s="16"/>
      <c r="I36" s="16"/>
      <c r="J36" s="16"/>
      <c r="K36" s="16"/>
      <c r="L36" s="16"/>
    </row>
    <row r="37" spans="2:12" ht="15.75" thickBot="1" x14ac:dyDescent="0.3">
      <c r="B37" s="18"/>
      <c r="C37" s="116" t="s">
        <v>88</v>
      </c>
      <c r="D37" s="117"/>
      <c r="E37" s="117"/>
      <c r="F37" s="117"/>
      <c r="G37" s="117"/>
      <c r="H37" s="117"/>
      <c r="I37" s="117"/>
      <c r="J37" s="117"/>
      <c r="K37" s="117"/>
      <c r="L37" s="117"/>
    </row>
    <row r="38" spans="2:12" ht="42.75" customHeight="1" thickBot="1" x14ac:dyDescent="0.3">
      <c r="B38" s="19">
        <v>1</v>
      </c>
      <c r="C38" s="108" t="s">
        <v>109</v>
      </c>
      <c r="D38" s="109"/>
      <c r="E38" s="109"/>
      <c r="F38" s="109"/>
      <c r="G38" s="109"/>
      <c r="H38" s="109"/>
      <c r="I38" s="109"/>
      <c r="J38" s="109"/>
      <c r="K38" s="109"/>
      <c r="L38" s="109"/>
    </row>
    <row r="39" spans="2:12" ht="40.5" customHeight="1" thickBot="1" x14ac:dyDescent="0.3">
      <c r="B39" s="19">
        <f t="shared" ref="B39:B48" si="0">+B38+1</f>
        <v>2</v>
      </c>
      <c r="C39" s="108" t="s">
        <v>81</v>
      </c>
      <c r="D39" s="109"/>
      <c r="E39" s="109"/>
      <c r="F39" s="109"/>
      <c r="G39" s="109"/>
      <c r="H39" s="109"/>
      <c r="I39" s="109"/>
      <c r="J39" s="109"/>
      <c r="K39" s="109"/>
      <c r="L39" s="109"/>
    </row>
    <row r="40" spans="2:12" ht="15.75" thickBot="1" x14ac:dyDescent="0.3">
      <c r="B40" s="19">
        <f t="shared" si="0"/>
        <v>3</v>
      </c>
      <c r="C40" s="108" t="s">
        <v>60</v>
      </c>
      <c r="D40" s="109"/>
      <c r="E40" s="109"/>
      <c r="F40" s="109"/>
      <c r="G40" s="109"/>
      <c r="H40" s="109"/>
      <c r="I40" s="109"/>
      <c r="J40" s="109"/>
      <c r="K40" s="109"/>
      <c r="L40" s="109"/>
    </row>
    <row r="41" spans="2:12" ht="32.25" customHeight="1" thickBot="1" x14ac:dyDescent="0.3">
      <c r="B41" s="19">
        <f t="shared" si="0"/>
        <v>4</v>
      </c>
      <c r="C41" s="118" t="s">
        <v>37</v>
      </c>
      <c r="D41" s="119"/>
      <c r="E41" s="119"/>
      <c r="F41" s="119"/>
      <c r="G41" s="119"/>
      <c r="H41" s="119"/>
      <c r="I41" s="119"/>
      <c r="J41" s="119"/>
      <c r="K41" s="119"/>
      <c r="L41" s="119"/>
    </row>
    <row r="42" spans="2:12" ht="45" customHeight="1" thickBot="1" x14ac:dyDescent="0.3">
      <c r="B42" s="19">
        <f t="shared" si="0"/>
        <v>5</v>
      </c>
      <c r="C42" s="108" t="s">
        <v>62</v>
      </c>
      <c r="D42" s="109"/>
      <c r="E42" s="109"/>
      <c r="F42" s="109"/>
      <c r="G42" s="109"/>
      <c r="H42" s="109"/>
      <c r="I42" s="109"/>
      <c r="J42" s="109"/>
      <c r="K42" s="109"/>
      <c r="L42" s="109"/>
    </row>
    <row r="43" spans="2:12" ht="15.75" thickBot="1" x14ac:dyDescent="0.3">
      <c r="B43" s="19">
        <f t="shared" si="0"/>
        <v>6</v>
      </c>
      <c r="C43" s="108" t="s">
        <v>51</v>
      </c>
      <c r="D43" s="109"/>
      <c r="E43" s="109"/>
      <c r="F43" s="109"/>
      <c r="G43" s="109"/>
      <c r="H43" s="109"/>
      <c r="I43" s="109"/>
      <c r="J43" s="109"/>
      <c r="K43" s="109"/>
      <c r="L43" s="109"/>
    </row>
    <row r="44" spans="2:12" ht="46.5" customHeight="1" thickBot="1" x14ac:dyDescent="0.3">
      <c r="B44" s="19">
        <f t="shared" si="0"/>
        <v>7</v>
      </c>
      <c r="C44" s="108" t="s">
        <v>83</v>
      </c>
      <c r="D44" s="109"/>
      <c r="E44" s="109"/>
      <c r="F44" s="109"/>
      <c r="G44" s="109"/>
      <c r="H44" s="109"/>
      <c r="I44" s="109"/>
      <c r="J44" s="109"/>
      <c r="K44" s="109"/>
      <c r="L44" s="109"/>
    </row>
    <row r="45" spans="2:12" ht="34.5" customHeight="1" thickBot="1" x14ac:dyDescent="0.3">
      <c r="B45" s="19">
        <f t="shared" si="0"/>
        <v>8</v>
      </c>
      <c r="C45" s="108" t="s">
        <v>84</v>
      </c>
      <c r="D45" s="109"/>
      <c r="E45" s="109"/>
      <c r="F45" s="109"/>
      <c r="G45" s="109"/>
      <c r="H45" s="109"/>
      <c r="I45" s="109"/>
      <c r="J45" s="109"/>
      <c r="K45" s="109"/>
      <c r="L45" s="109"/>
    </row>
    <row r="46" spans="2:12" ht="15.75" thickBot="1" x14ac:dyDescent="0.3">
      <c r="B46" s="19">
        <f t="shared" si="0"/>
        <v>9</v>
      </c>
      <c r="C46" s="108" t="s">
        <v>82</v>
      </c>
      <c r="D46" s="109"/>
      <c r="E46" s="109"/>
      <c r="F46" s="109"/>
      <c r="G46" s="109"/>
      <c r="H46" s="109"/>
      <c r="I46" s="109"/>
      <c r="J46" s="109"/>
      <c r="K46" s="109"/>
      <c r="L46" s="109"/>
    </row>
    <row r="47" spans="2:12" ht="15.75" thickBot="1" x14ac:dyDescent="0.3">
      <c r="B47" s="19">
        <f t="shared" si="0"/>
        <v>10</v>
      </c>
      <c r="C47" s="108" t="s">
        <v>85</v>
      </c>
      <c r="D47" s="109"/>
      <c r="E47" s="109"/>
      <c r="F47" s="109"/>
      <c r="G47" s="109"/>
      <c r="H47" s="109"/>
      <c r="I47" s="109"/>
      <c r="J47" s="109"/>
      <c r="K47" s="109"/>
      <c r="L47" s="109"/>
    </row>
    <row r="48" spans="2:12" ht="15.75" thickBot="1" x14ac:dyDescent="0.3">
      <c r="B48" s="19">
        <f t="shared" si="0"/>
        <v>11</v>
      </c>
      <c r="C48" s="108" t="s">
        <v>64</v>
      </c>
      <c r="D48" s="109"/>
      <c r="E48" s="109"/>
      <c r="F48" s="109"/>
      <c r="G48" s="109"/>
      <c r="H48" s="109"/>
      <c r="I48" s="109"/>
      <c r="J48" s="109"/>
      <c r="K48" s="109"/>
      <c r="L48" s="109"/>
    </row>
    <row r="49" spans="2:12" ht="15.75" thickBot="1" x14ac:dyDescent="0.3">
      <c r="B49" s="19">
        <v>12</v>
      </c>
      <c r="C49" s="80" t="s">
        <v>104</v>
      </c>
      <c r="D49" s="81"/>
      <c r="E49" s="81"/>
      <c r="F49" s="81"/>
      <c r="G49" s="81"/>
      <c r="H49" s="81"/>
      <c r="I49" s="81"/>
      <c r="J49" s="81"/>
      <c r="K49" s="81"/>
      <c r="L49" s="81"/>
    </row>
  </sheetData>
  <mergeCells count="81">
    <mergeCell ref="E8:K8"/>
    <mergeCell ref="E3:K3"/>
    <mergeCell ref="E4:K4"/>
    <mergeCell ref="E5:K5"/>
    <mergeCell ref="E6:K6"/>
    <mergeCell ref="E7:K7"/>
    <mergeCell ref="F29:G29"/>
    <mergeCell ref="H29:I29"/>
    <mergeCell ref="J29:K29"/>
    <mergeCell ref="C49:L49"/>
    <mergeCell ref="C48:L48"/>
    <mergeCell ref="C37:L37"/>
    <mergeCell ref="C43:L43"/>
    <mergeCell ref="C44:L44"/>
    <mergeCell ref="C45:L45"/>
    <mergeCell ref="C46:L46"/>
    <mergeCell ref="C47:L47"/>
    <mergeCell ref="C38:L38"/>
    <mergeCell ref="C39:L39"/>
    <mergeCell ref="C40:L40"/>
    <mergeCell ref="C41:L41"/>
    <mergeCell ref="C42:L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5D41-82DA-481F-9C26-E7C2620ADF75}">
  <dimension ref="A1:T59"/>
  <sheetViews>
    <sheetView showGridLines="0" zoomScaleNormal="100" workbookViewId="0">
      <selection activeCell="H4" sqref="H4"/>
    </sheetView>
  </sheetViews>
  <sheetFormatPr defaultColWidth="8.7109375" defaultRowHeight="15" x14ac:dyDescent="0.25"/>
  <cols>
    <col min="1" max="1" width="5.42578125" style="2" customWidth="1"/>
    <col min="2" max="2" width="48" style="1" customWidth="1"/>
    <col min="3" max="3" width="4.42578125" style="3" customWidth="1"/>
    <col min="4" max="4" width="50" style="1" bestFit="1" customWidth="1"/>
    <col min="5" max="5" width="11.42578125" style="2" customWidth="1"/>
    <col min="6" max="6" width="6.140625" style="2" customWidth="1"/>
    <col min="7" max="7" width="11.42578125" style="2" customWidth="1"/>
    <col min="8" max="8" width="6.140625" style="2" customWidth="1"/>
    <col min="9" max="9" width="11.42578125" style="2" customWidth="1"/>
    <col min="10" max="10" width="6.140625" style="2" customWidth="1"/>
    <col min="11" max="11" width="11.42578125" style="2" customWidth="1"/>
    <col min="12" max="12" width="6.140625" style="2" customWidth="1"/>
    <col min="13" max="13" width="11.42578125" style="2" customWidth="1"/>
    <col min="14" max="14" width="6.140625" style="2" customWidth="1"/>
    <col min="15" max="15" width="8.7109375" style="2"/>
    <col min="16" max="16" width="11" style="2" bestFit="1" customWidth="1"/>
    <col min="17" max="17" width="8.7109375" style="2"/>
    <col min="18" max="18" width="10.42578125" style="2" customWidth="1"/>
    <col min="19" max="19" width="8.7109375" style="2"/>
    <col min="20" max="20" width="20.140625" style="2" bestFit="1" customWidth="1"/>
    <col min="21" max="16384" width="8.7109375" style="2"/>
  </cols>
  <sheetData>
    <row r="1" spans="2:14" x14ac:dyDescent="0.25">
      <c r="B1" s="2"/>
      <c r="C1" s="2"/>
      <c r="D1" s="26" t="s">
        <v>95</v>
      </c>
    </row>
    <row r="2" spans="2:14" x14ac:dyDescent="0.25">
      <c r="B2" s="27" t="s">
        <v>0</v>
      </c>
      <c r="C2" s="28"/>
      <c r="D2" s="27"/>
    </row>
    <row r="3" spans="2:14" x14ac:dyDescent="0.25">
      <c r="B3" s="5" t="s">
        <v>2</v>
      </c>
      <c r="C3" s="6" t="s">
        <v>15</v>
      </c>
      <c r="D3" s="120">
        <v>500000</v>
      </c>
    </row>
    <row r="4" spans="2:14" x14ac:dyDescent="0.25">
      <c r="B4" s="5" t="s">
        <v>1</v>
      </c>
      <c r="C4" s="6" t="s">
        <v>16</v>
      </c>
      <c r="D4" s="121">
        <v>0.02</v>
      </c>
    </row>
    <row r="5" spans="2:14" x14ac:dyDescent="0.25">
      <c r="B5" s="5" t="s">
        <v>6</v>
      </c>
      <c r="C5" s="6" t="s">
        <v>17</v>
      </c>
      <c r="D5" s="121">
        <v>5.0000000000000001E-3</v>
      </c>
    </row>
    <row r="6" spans="2:14" x14ac:dyDescent="0.25">
      <c r="B6" s="5" t="s">
        <v>39</v>
      </c>
      <c r="C6" s="6" t="s">
        <v>41</v>
      </c>
      <c r="D6" s="121">
        <v>0.2</v>
      </c>
    </row>
    <row r="7" spans="2:14" x14ac:dyDescent="0.25">
      <c r="B7" s="5" t="s">
        <v>40</v>
      </c>
      <c r="C7" s="6" t="s">
        <v>42</v>
      </c>
      <c r="D7" s="121">
        <v>0.08</v>
      </c>
    </row>
    <row r="8" spans="2:14" x14ac:dyDescent="0.25">
      <c r="B8" s="5" t="s">
        <v>56</v>
      </c>
      <c r="C8" s="6" t="s">
        <v>65</v>
      </c>
      <c r="D8" s="121">
        <v>2E-3</v>
      </c>
    </row>
    <row r="9" spans="2:14" x14ac:dyDescent="0.25">
      <c r="E9" s="15"/>
    </row>
    <row r="10" spans="2:14" x14ac:dyDescent="0.25">
      <c r="B10" s="62" t="s">
        <v>111</v>
      </c>
      <c r="C10" s="62"/>
      <c r="D10" s="62"/>
      <c r="E10" s="122" t="s">
        <v>94</v>
      </c>
      <c r="F10" s="122"/>
      <c r="G10" s="122" t="s">
        <v>93</v>
      </c>
      <c r="H10" s="122"/>
      <c r="I10" s="122" t="s">
        <v>92</v>
      </c>
      <c r="J10" s="122"/>
      <c r="K10" s="122" t="s">
        <v>91</v>
      </c>
      <c r="L10" s="122"/>
      <c r="M10" s="122" t="s">
        <v>90</v>
      </c>
      <c r="N10" s="122"/>
    </row>
    <row r="11" spans="2:14" x14ac:dyDescent="0.25">
      <c r="B11" s="62"/>
      <c r="C11" s="62"/>
      <c r="D11" s="62"/>
      <c r="E11" s="123" t="s">
        <v>89</v>
      </c>
      <c r="F11" s="124">
        <v>0.4</v>
      </c>
      <c r="G11" s="123" t="s">
        <v>89</v>
      </c>
      <c r="H11" s="124">
        <v>-0.25</v>
      </c>
      <c r="I11" s="123" t="s">
        <v>89</v>
      </c>
      <c r="J11" s="124">
        <v>0.5</v>
      </c>
      <c r="K11" s="123" t="s">
        <v>89</v>
      </c>
      <c r="L11" s="124">
        <v>0.4</v>
      </c>
      <c r="M11" s="123" t="s">
        <v>89</v>
      </c>
      <c r="N11" s="124">
        <v>0</v>
      </c>
    </row>
    <row r="12" spans="2:14" x14ac:dyDescent="0.25">
      <c r="B12" s="5" t="s">
        <v>112</v>
      </c>
      <c r="C12" s="6" t="s">
        <v>19</v>
      </c>
      <c r="D12" s="7" t="s">
        <v>29</v>
      </c>
      <c r="E12" s="99">
        <f>+$D$3</f>
        <v>500000</v>
      </c>
      <c r="F12" s="99"/>
      <c r="G12" s="99">
        <f>+E32</f>
        <v>657170.37037037034</v>
      </c>
      <c r="H12" s="99"/>
      <c r="I12" s="99">
        <f>+G32</f>
        <v>477352.12777777773</v>
      </c>
      <c r="J12" s="99"/>
      <c r="K12" s="99">
        <f>+I32</f>
        <v>699917.55735416664</v>
      </c>
      <c r="L12" s="99"/>
      <c r="M12" s="99">
        <f>+K32</f>
        <v>938044.01427004673</v>
      </c>
      <c r="N12" s="99"/>
    </row>
    <row r="13" spans="2:14" x14ac:dyDescent="0.25">
      <c r="B13" s="5" t="s">
        <v>33</v>
      </c>
      <c r="C13" s="6" t="s">
        <v>20</v>
      </c>
      <c r="D13" s="7" t="s">
        <v>30</v>
      </c>
      <c r="E13" s="99">
        <f>E12*F11</f>
        <v>200000</v>
      </c>
      <c r="F13" s="99"/>
      <c r="G13" s="99">
        <f>G12*H11</f>
        <v>-164292.59259259258</v>
      </c>
      <c r="H13" s="99"/>
      <c r="I13" s="99">
        <f t="shared" ref="I13" si="0">I12*J11</f>
        <v>238676.06388888886</v>
      </c>
      <c r="J13" s="99"/>
      <c r="K13" s="99">
        <f t="shared" ref="K13" si="1">K12*L11</f>
        <v>279967.02294166666</v>
      </c>
      <c r="L13" s="99"/>
      <c r="M13" s="99">
        <f t="shared" ref="M13" si="2">M12*N11</f>
        <v>0</v>
      </c>
      <c r="N13" s="99"/>
    </row>
    <row r="14" spans="2:14" x14ac:dyDescent="0.25">
      <c r="B14" s="5" t="s">
        <v>7</v>
      </c>
      <c r="C14" s="6" t="s">
        <v>21</v>
      </c>
      <c r="D14" s="7" t="s">
        <v>31</v>
      </c>
      <c r="E14" s="99">
        <f>E12+E13</f>
        <v>700000</v>
      </c>
      <c r="F14" s="99"/>
      <c r="G14" s="99">
        <f>G12+G13</f>
        <v>492877.77777777775</v>
      </c>
      <c r="H14" s="99"/>
      <c r="I14" s="99">
        <f>I12+I13</f>
        <v>716028.19166666665</v>
      </c>
      <c r="J14" s="99"/>
      <c r="K14" s="99">
        <f>K12+K13</f>
        <v>979884.58029583329</v>
      </c>
      <c r="L14" s="99"/>
      <c r="M14" s="99">
        <f>M12+M13</f>
        <v>938044.01427004673</v>
      </c>
      <c r="N14" s="99"/>
    </row>
    <row r="15" spans="2:14" x14ac:dyDescent="0.25">
      <c r="B15" s="70"/>
      <c r="C15" s="70"/>
      <c r="D15" s="70"/>
      <c r="E15" s="70"/>
      <c r="F15" s="70"/>
      <c r="G15" s="70"/>
      <c r="H15" s="70"/>
      <c r="I15" s="70"/>
      <c r="J15" s="70"/>
      <c r="K15" s="70"/>
      <c r="L15" s="70"/>
      <c r="M15" s="70"/>
      <c r="N15" s="70"/>
    </row>
    <row r="16" spans="2:14" x14ac:dyDescent="0.25">
      <c r="B16" s="5" t="s">
        <v>18</v>
      </c>
      <c r="C16" s="6" t="s">
        <v>22</v>
      </c>
      <c r="D16" s="7" t="s">
        <v>32</v>
      </c>
      <c r="E16" s="125">
        <f>(E12+E14)/2</f>
        <v>600000</v>
      </c>
      <c r="F16" s="125"/>
      <c r="G16" s="125">
        <f>(G12+G14)/2</f>
        <v>575024.07407407404</v>
      </c>
      <c r="H16" s="125"/>
      <c r="I16" s="125">
        <f>(I12+I14)/2</f>
        <v>596690.15972222225</v>
      </c>
      <c r="J16" s="125"/>
      <c r="K16" s="125">
        <f>(K12+K14)/2</f>
        <v>839901.06882499997</v>
      </c>
      <c r="L16" s="125"/>
      <c r="M16" s="125">
        <f>(M12+M14)/2</f>
        <v>938044.01427004673</v>
      </c>
      <c r="N16" s="125"/>
    </row>
    <row r="17" spans="2:20" x14ac:dyDescent="0.25">
      <c r="B17" s="70"/>
      <c r="C17" s="70"/>
      <c r="D17" s="70"/>
      <c r="E17" s="70"/>
      <c r="F17" s="70"/>
      <c r="G17" s="70"/>
      <c r="H17" s="70"/>
      <c r="I17" s="70"/>
      <c r="J17" s="70"/>
      <c r="K17" s="8"/>
      <c r="L17" s="8"/>
      <c r="M17" s="8"/>
      <c r="N17" s="8"/>
    </row>
    <row r="18" spans="2:20" x14ac:dyDescent="0.25">
      <c r="B18" s="5" t="s">
        <v>34</v>
      </c>
      <c r="C18" s="6" t="s">
        <v>23</v>
      </c>
      <c r="D18" s="7" t="s">
        <v>55</v>
      </c>
      <c r="E18" s="99">
        <f>+E16*-$D$5</f>
        <v>-3000</v>
      </c>
      <c r="F18" s="99"/>
      <c r="G18" s="99">
        <f>+G16*-$D$5</f>
        <v>-2875.1203703703704</v>
      </c>
      <c r="H18" s="99"/>
      <c r="I18" s="99">
        <f>+I16*-$D$5</f>
        <v>-2983.4507986111112</v>
      </c>
      <c r="J18" s="99"/>
      <c r="K18" s="99">
        <f>+K16*-$D$5</f>
        <v>-4199.5053441250002</v>
      </c>
      <c r="L18" s="99"/>
      <c r="M18" s="99">
        <f>+M16*-$D$5</f>
        <v>-4690.2200713502334</v>
      </c>
      <c r="N18" s="99"/>
    </row>
    <row r="19" spans="2:20" x14ac:dyDescent="0.25">
      <c r="B19" s="5" t="s">
        <v>56</v>
      </c>
      <c r="C19" s="6" t="s">
        <v>24</v>
      </c>
      <c r="D19" s="7" t="s">
        <v>66</v>
      </c>
      <c r="E19" s="99">
        <f>+E16*-$D$8</f>
        <v>-1200</v>
      </c>
      <c r="F19" s="99"/>
      <c r="G19" s="99">
        <f>+G16*-$D$8</f>
        <v>-1150.0481481481481</v>
      </c>
      <c r="H19" s="99"/>
      <c r="I19" s="99">
        <f>+I16*-$D$8</f>
        <v>-1193.3803194444445</v>
      </c>
      <c r="J19" s="99"/>
      <c r="K19" s="99">
        <f>+K16*-$D$8</f>
        <v>-1679.8021376500001</v>
      </c>
      <c r="L19" s="99"/>
      <c r="M19" s="99">
        <f>+M16*-$D$8</f>
        <v>-1876.0880285400935</v>
      </c>
      <c r="N19" s="99"/>
    </row>
    <row r="20" spans="2:20" x14ac:dyDescent="0.25">
      <c r="B20" s="5" t="s">
        <v>35</v>
      </c>
      <c r="C20" s="6" t="s">
        <v>25</v>
      </c>
      <c r="D20" s="5" t="s">
        <v>58</v>
      </c>
      <c r="E20" s="99">
        <f>-E16*$D$4</f>
        <v>-12000</v>
      </c>
      <c r="F20" s="99"/>
      <c r="G20" s="99">
        <f t="shared" ref="G20" si="3">-G16*$D$4</f>
        <v>-11500.481481481482</v>
      </c>
      <c r="H20" s="99"/>
      <c r="I20" s="99">
        <f t="shared" ref="I20" si="4">-I16*$D$4</f>
        <v>-11933.803194444445</v>
      </c>
      <c r="J20" s="99"/>
      <c r="K20" s="99">
        <f t="shared" ref="K20" si="5">-K16*$D$4</f>
        <v>-16798.021376500001</v>
      </c>
      <c r="L20" s="99"/>
      <c r="M20" s="99">
        <f t="shared" ref="M20" si="6">-M16*$D$4</f>
        <v>-18760.880285400934</v>
      </c>
      <c r="N20" s="99"/>
    </row>
    <row r="21" spans="2:20" x14ac:dyDescent="0.25">
      <c r="B21" s="5" t="s">
        <v>8</v>
      </c>
      <c r="C21" s="6" t="s">
        <v>26</v>
      </c>
      <c r="D21" s="5" t="s">
        <v>59</v>
      </c>
      <c r="E21" s="99">
        <f>+E18+E20+E19</f>
        <v>-16200</v>
      </c>
      <c r="F21" s="99"/>
      <c r="G21" s="99">
        <f>+G18+G20+G19</f>
        <v>-15525.65</v>
      </c>
      <c r="H21" s="99"/>
      <c r="I21" s="99">
        <f>+I18+I20+I19</f>
        <v>-16110.6343125</v>
      </c>
      <c r="J21" s="99"/>
      <c r="K21" s="99">
        <f>+K18+K20+K19</f>
        <v>-22677.328858274999</v>
      </c>
      <c r="L21" s="99"/>
      <c r="M21" s="99">
        <f>+M18+M20+M19</f>
        <v>-25327.188385291258</v>
      </c>
      <c r="N21" s="99"/>
    </row>
    <row r="22" spans="2:20" x14ac:dyDescent="0.25">
      <c r="B22" s="70"/>
      <c r="C22" s="70"/>
      <c r="D22" s="70"/>
      <c r="E22" s="70"/>
      <c r="F22" s="70"/>
      <c r="G22" s="70"/>
      <c r="H22" s="70"/>
      <c r="I22" s="70"/>
      <c r="J22" s="70"/>
      <c r="K22" s="70"/>
      <c r="L22" s="70"/>
      <c r="M22" s="70"/>
      <c r="N22" s="70"/>
    </row>
    <row r="23" spans="2:20" x14ac:dyDescent="0.25">
      <c r="B23" s="5" t="s">
        <v>113</v>
      </c>
      <c r="C23" s="6" t="s">
        <v>27</v>
      </c>
      <c r="D23" s="5" t="s">
        <v>67</v>
      </c>
      <c r="E23" s="99">
        <f>E14+E21</f>
        <v>683800</v>
      </c>
      <c r="F23" s="99"/>
      <c r="G23" s="99">
        <f>G14+G21</f>
        <v>477352.12777777773</v>
      </c>
      <c r="H23" s="99"/>
      <c r="I23" s="99">
        <f>I14+I21</f>
        <v>699917.55735416664</v>
      </c>
      <c r="J23" s="99"/>
      <c r="K23" s="99">
        <f>K14+K21</f>
        <v>957207.25143755833</v>
      </c>
      <c r="L23" s="99"/>
      <c r="M23" s="99">
        <f>M14+M21</f>
        <v>912716.82588475547</v>
      </c>
      <c r="N23" s="99"/>
      <c r="P23" s="29"/>
      <c r="Q23" s="30"/>
      <c r="R23" s="30"/>
      <c r="S23" s="31"/>
      <c r="T23" s="32"/>
    </row>
    <row r="24" spans="2:20" x14ac:dyDescent="0.25">
      <c r="B24" s="5" t="s">
        <v>101</v>
      </c>
      <c r="C24" s="6" t="s">
        <v>28</v>
      </c>
      <c r="D24" s="5"/>
      <c r="E24" s="99">
        <f>E12</f>
        <v>500000</v>
      </c>
      <c r="F24" s="99"/>
      <c r="G24" s="99">
        <f>+E36</f>
        <v>683800</v>
      </c>
      <c r="H24" s="99"/>
      <c r="I24" s="99">
        <f>+G36</f>
        <v>683800</v>
      </c>
      <c r="J24" s="99"/>
      <c r="K24" s="99">
        <f>+I36</f>
        <v>699917.55735416664</v>
      </c>
      <c r="L24" s="99"/>
      <c r="M24" s="99">
        <f>+K36</f>
        <v>957207.25143755833</v>
      </c>
      <c r="N24" s="99"/>
      <c r="T24" s="32"/>
    </row>
    <row r="25" spans="2:20" x14ac:dyDescent="0.25">
      <c r="B25" s="9" t="s">
        <v>114</v>
      </c>
      <c r="C25" s="6" t="s">
        <v>45</v>
      </c>
      <c r="D25" s="129" t="s">
        <v>115</v>
      </c>
      <c r="E25" s="126">
        <f>E12*(1+$D$7)</f>
        <v>540000</v>
      </c>
      <c r="F25" s="126"/>
      <c r="G25" s="126">
        <f>MAX(E25*(1+$D$7),E23*(1+$D$7))</f>
        <v>738504</v>
      </c>
      <c r="H25" s="126"/>
      <c r="I25" s="126">
        <f t="shared" ref="I25" si="7">MAX(G25*(1+$D$7),G23*(1+$D$7))</f>
        <v>797584.32000000007</v>
      </c>
      <c r="J25" s="126"/>
      <c r="K25" s="126">
        <f t="shared" ref="K25" si="8">MAX(I25*(1+$D$7),I23*(1+$D$7))</f>
        <v>861391.06560000009</v>
      </c>
      <c r="L25" s="126"/>
      <c r="M25" s="126">
        <f t="shared" ref="M25" si="9">MAX(K25*(1+$D$7),K23*(1+$D$7))</f>
        <v>1033783.8315525631</v>
      </c>
      <c r="N25" s="126"/>
      <c r="P25" s="33"/>
    </row>
    <row r="26" spans="2:20" x14ac:dyDescent="0.25">
      <c r="B26" s="9"/>
      <c r="C26" s="6"/>
      <c r="D26" s="9"/>
      <c r="E26" s="99"/>
      <c r="F26" s="99"/>
      <c r="G26" s="8"/>
      <c r="H26" s="8"/>
      <c r="I26" s="8"/>
      <c r="J26" s="8"/>
      <c r="K26" s="8"/>
      <c r="L26" s="8"/>
      <c r="M26" s="8"/>
      <c r="N26" s="8"/>
    </row>
    <row r="27" spans="2:20" x14ac:dyDescent="0.25">
      <c r="B27" s="5" t="s">
        <v>116</v>
      </c>
      <c r="C27" s="6" t="s">
        <v>46</v>
      </c>
      <c r="D27" s="5" t="s">
        <v>117</v>
      </c>
      <c r="E27" s="127">
        <f>IF(E23&gt;E25,((E23-E25)/E25),0)</f>
        <v>0.26629629629629631</v>
      </c>
      <c r="F27" s="127"/>
      <c r="G27" s="127">
        <f t="shared" ref="G27" si="10">IF(G23&gt;G25,((G23-G25)/G25),0)</f>
        <v>0</v>
      </c>
      <c r="H27" s="127"/>
      <c r="I27" s="127">
        <f t="shared" ref="I27" si="11">IF(I23&gt;I25,((I23-I25)/I25),0)</f>
        <v>0</v>
      </c>
      <c r="J27" s="127"/>
      <c r="K27" s="127">
        <f t="shared" ref="K27" si="12">IF(K23&gt;K25,((K23-K25)/K25),0)</f>
        <v>0.11123424616764242</v>
      </c>
      <c r="L27" s="127"/>
      <c r="M27" s="127">
        <f t="shared" ref="M27" si="13">IF(M23&gt;M25,((M23-M25)/M25),0)</f>
        <v>0</v>
      </c>
      <c r="N27" s="127"/>
    </row>
    <row r="28" spans="2:20" x14ac:dyDescent="0.25">
      <c r="B28" s="9" t="s">
        <v>100</v>
      </c>
      <c r="C28" s="6" t="s">
        <v>47</v>
      </c>
      <c r="D28" s="9" t="s">
        <v>118</v>
      </c>
      <c r="E28" s="127">
        <f>E27*$D$6</f>
        <v>5.3259259259259263E-2</v>
      </c>
      <c r="F28" s="127"/>
      <c r="G28" s="127">
        <f t="shared" ref="G28" si="14">G27*$D$6</f>
        <v>0</v>
      </c>
      <c r="H28" s="127"/>
      <c r="I28" s="127">
        <f t="shared" ref="I28" si="15">I27*$D$6</f>
        <v>0</v>
      </c>
      <c r="J28" s="127"/>
      <c r="K28" s="127">
        <f t="shared" ref="K28" si="16">K27*$D$6</f>
        <v>2.2246849233528487E-2</v>
      </c>
      <c r="L28" s="127"/>
      <c r="M28" s="127">
        <f t="shared" ref="M28" si="17">M27*$D$6</f>
        <v>0</v>
      </c>
      <c r="N28" s="127"/>
    </row>
    <row r="29" spans="2:20" ht="30" x14ac:dyDescent="0.25">
      <c r="B29" s="9" t="s">
        <v>99</v>
      </c>
      <c r="C29" s="6" t="s">
        <v>49</v>
      </c>
      <c r="D29" s="9" t="s">
        <v>119</v>
      </c>
      <c r="E29" s="125">
        <f>E28*E12</f>
        <v>26629.629629629631</v>
      </c>
      <c r="F29" s="125"/>
      <c r="G29" s="125">
        <f>G28*G25</f>
        <v>0</v>
      </c>
      <c r="H29" s="125"/>
      <c r="I29" s="125">
        <f t="shared" ref="I29" si="18">I28*I25</f>
        <v>0</v>
      </c>
      <c r="J29" s="125"/>
      <c r="K29" s="125">
        <f t="shared" ref="K29" si="19">K28*K25</f>
        <v>19163.237167511648</v>
      </c>
      <c r="L29" s="125"/>
      <c r="M29" s="125">
        <f t="shared" ref="M29" si="20">M28*M25</f>
        <v>0</v>
      </c>
      <c r="N29" s="125"/>
    </row>
    <row r="30" spans="2:20" x14ac:dyDescent="0.25">
      <c r="B30" s="5" t="s">
        <v>98</v>
      </c>
      <c r="C30" s="6" t="s">
        <v>52</v>
      </c>
      <c r="D30" s="5"/>
      <c r="E30" s="99" t="str">
        <f>IF(E29&gt;0,"Yes","No Pref fee")</f>
        <v>Yes</v>
      </c>
      <c r="F30" s="99"/>
      <c r="G30" s="99" t="str">
        <f>IF(G29&gt;0,"Yes","No Pref fee")</f>
        <v>No Pref fee</v>
      </c>
      <c r="H30" s="99"/>
      <c r="I30" s="99" t="str">
        <f>IF(I29&gt;0,"Yes","No Pref fee")</f>
        <v>No Pref fee</v>
      </c>
      <c r="J30" s="99"/>
      <c r="K30" s="99" t="str">
        <f>IF(K29&gt;0,"Yes","No Pref fee")</f>
        <v>Yes</v>
      </c>
      <c r="L30" s="99"/>
      <c r="M30" s="99" t="str">
        <f>IF(M29&gt;0,"Yes","No Pref fee")</f>
        <v>No Pref fee</v>
      </c>
      <c r="N30" s="99"/>
      <c r="P30" s="34"/>
      <c r="T30" s="34"/>
    </row>
    <row r="31" spans="2:20" x14ac:dyDescent="0.25">
      <c r="B31" s="70"/>
      <c r="C31" s="70"/>
      <c r="D31" s="70"/>
      <c r="E31" s="70"/>
      <c r="F31" s="70"/>
      <c r="G31" s="70"/>
      <c r="H31" s="70"/>
      <c r="I31" s="70"/>
      <c r="J31" s="70"/>
      <c r="K31" s="70"/>
      <c r="L31" s="70"/>
      <c r="M31" s="70"/>
      <c r="N31" s="70"/>
    </row>
    <row r="32" spans="2:20" ht="30" x14ac:dyDescent="0.25">
      <c r="B32" s="5" t="s">
        <v>54</v>
      </c>
      <c r="C32" s="6" t="s">
        <v>80</v>
      </c>
      <c r="D32" s="5" t="s">
        <v>120</v>
      </c>
      <c r="E32" s="128">
        <f>+E23-E29</f>
        <v>657170.37037037034</v>
      </c>
      <c r="F32" s="128"/>
      <c r="G32" s="128">
        <f>+G23-G29</f>
        <v>477352.12777777773</v>
      </c>
      <c r="H32" s="128"/>
      <c r="I32" s="128">
        <f>+I23-I29</f>
        <v>699917.55735416664</v>
      </c>
      <c r="J32" s="128"/>
      <c r="K32" s="128">
        <f>+K23-K29</f>
        <v>938044.01427004673</v>
      </c>
      <c r="L32" s="128"/>
      <c r="M32" s="128">
        <f>+M23-M29</f>
        <v>912716.82588475547</v>
      </c>
      <c r="N32" s="128"/>
    </row>
    <row r="33" spans="1:14" ht="16.5" customHeight="1" x14ac:dyDescent="0.25">
      <c r="B33" s="5" t="s">
        <v>10</v>
      </c>
      <c r="C33" s="6" t="s">
        <v>97</v>
      </c>
      <c r="D33" s="5" t="s">
        <v>121</v>
      </c>
      <c r="E33" s="72">
        <f>+E32/E12-1</f>
        <v>0.31434074074074059</v>
      </c>
      <c r="F33" s="72"/>
      <c r="G33" s="72">
        <f>+G32/G12-1</f>
        <v>-0.27362500000000001</v>
      </c>
      <c r="H33" s="72"/>
      <c r="I33" s="72">
        <f>+I32/I12-1</f>
        <v>0.46625000000000005</v>
      </c>
      <c r="J33" s="72"/>
      <c r="K33" s="72">
        <f>+K32/K12-1</f>
        <v>0.34022072230342015</v>
      </c>
      <c r="L33" s="72"/>
      <c r="M33" s="72">
        <f>+M32/M12-1</f>
        <v>-2.7000000000000024E-2</v>
      </c>
      <c r="N33" s="72"/>
    </row>
    <row r="34" spans="1:14" x14ac:dyDescent="0.25">
      <c r="B34" s="5" t="s">
        <v>122</v>
      </c>
      <c r="C34" s="6" t="s">
        <v>96</v>
      </c>
      <c r="D34" s="5" t="s">
        <v>123</v>
      </c>
      <c r="E34" s="72">
        <f>(E32/E12)-1</f>
        <v>0.31434074074074059</v>
      </c>
      <c r="F34" s="72"/>
      <c r="G34" s="72">
        <f>(G32/E12)^(1/2)-1</f>
        <v>-2.2910313453490816E-2</v>
      </c>
      <c r="H34" s="72"/>
      <c r="I34" s="72">
        <f>(I32/E12)^(1/3)-1</f>
        <v>0.11864502241606445</v>
      </c>
      <c r="J34" s="72"/>
      <c r="K34" s="72">
        <f>(K32/E12)^(1/4)-1</f>
        <v>0.17034338037776808</v>
      </c>
      <c r="L34" s="72"/>
      <c r="M34" s="72">
        <f>(M32/E12)^(1/5)-1</f>
        <v>0.12790678837617642</v>
      </c>
      <c r="N34" s="72"/>
    </row>
    <row r="35" spans="1:14" x14ac:dyDescent="0.25">
      <c r="B35" s="70"/>
      <c r="C35" s="70"/>
      <c r="D35" s="70"/>
      <c r="E35" s="70"/>
      <c r="F35" s="70"/>
      <c r="G35" s="70"/>
      <c r="H35" s="70"/>
      <c r="I35" s="70"/>
      <c r="J35" s="70"/>
      <c r="K35" s="70"/>
      <c r="L35" s="70"/>
      <c r="M35" s="70"/>
      <c r="N35" s="70"/>
    </row>
    <row r="36" spans="1:14" x14ac:dyDescent="0.25">
      <c r="B36" s="5" t="s">
        <v>124</v>
      </c>
      <c r="C36" s="6" t="s">
        <v>96</v>
      </c>
      <c r="D36" s="5" t="s">
        <v>125</v>
      </c>
      <c r="E36" s="99">
        <f>MAX(E23,E24)</f>
        <v>683800</v>
      </c>
      <c r="F36" s="99"/>
      <c r="G36" s="99">
        <f>MAX(G23,G24)</f>
        <v>683800</v>
      </c>
      <c r="H36" s="99"/>
      <c r="I36" s="99">
        <f>MAX(I23,I24)</f>
        <v>699917.55735416664</v>
      </c>
      <c r="J36" s="99"/>
      <c r="K36" s="99">
        <f>MAX(K23,K24)</f>
        <v>957207.25143755833</v>
      </c>
      <c r="L36" s="99"/>
      <c r="M36" s="99">
        <f>MAX(M23,M24)</f>
        <v>957207.25143755833</v>
      </c>
      <c r="N36" s="99"/>
    </row>
    <row r="37" spans="1:14" x14ac:dyDescent="0.25">
      <c r="B37" s="5"/>
      <c r="C37" s="6"/>
      <c r="D37" s="5"/>
      <c r="E37" s="8"/>
      <c r="F37" s="8"/>
      <c r="G37" s="8"/>
      <c r="H37" s="8"/>
      <c r="I37" s="8"/>
      <c r="J37" s="8"/>
      <c r="K37" s="8"/>
      <c r="L37" s="8"/>
      <c r="M37" s="8"/>
      <c r="N37" s="8"/>
    </row>
    <row r="38" spans="1:14" ht="15.75" thickBot="1" x14ac:dyDescent="0.3">
      <c r="B38" s="57" t="s">
        <v>126</v>
      </c>
      <c r="C38" s="57"/>
      <c r="D38" s="57"/>
      <c r="E38" s="57"/>
      <c r="F38" s="57"/>
      <c r="G38" s="57"/>
      <c r="H38" s="57"/>
      <c r="I38" s="57"/>
      <c r="J38" s="57"/>
      <c r="K38" s="57"/>
      <c r="L38" s="57"/>
      <c r="M38" s="57"/>
      <c r="N38" s="57"/>
    </row>
    <row r="39" spans="1:14" x14ac:dyDescent="0.25">
      <c r="B39" s="1" t="s">
        <v>127</v>
      </c>
    </row>
    <row r="40" spans="1:14" x14ac:dyDescent="0.25">
      <c r="A40" s="2">
        <v>1</v>
      </c>
      <c r="B40" s="2" t="s">
        <v>128</v>
      </c>
    </row>
    <row r="41" spans="1:14" x14ac:dyDescent="0.25">
      <c r="A41" s="2">
        <f t="shared" ref="A41:A46" si="21">+A40+1</f>
        <v>2</v>
      </c>
      <c r="B41" s="35" t="s">
        <v>132</v>
      </c>
    </row>
    <row r="42" spans="1:14" x14ac:dyDescent="0.25">
      <c r="A42" s="2">
        <f t="shared" si="21"/>
        <v>3</v>
      </c>
      <c r="B42" s="2" t="s">
        <v>129</v>
      </c>
    </row>
    <row r="43" spans="1:14" x14ac:dyDescent="0.25">
      <c r="A43" s="2">
        <f t="shared" si="21"/>
        <v>4</v>
      </c>
      <c r="B43" s="35" t="s">
        <v>130</v>
      </c>
    </row>
    <row r="44" spans="1:14" x14ac:dyDescent="0.25">
      <c r="A44" s="2">
        <f t="shared" si="21"/>
        <v>5</v>
      </c>
      <c r="B44" s="2" t="s">
        <v>82</v>
      </c>
    </row>
    <row r="45" spans="1:14" x14ac:dyDescent="0.25">
      <c r="A45" s="2">
        <f t="shared" si="21"/>
        <v>6</v>
      </c>
      <c r="B45" s="2" t="s">
        <v>131</v>
      </c>
    </row>
    <row r="46" spans="1:14" x14ac:dyDescent="0.25">
      <c r="A46" s="2">
        <f t="shared" si="21"/>
        <v>7</v>
      </c>
      <c r="B46" s="2" t="s">
        <v>60</v>
      </c>
    </row>
    <row r="47" spans="1:14" x14ac:dyDescent="0.25">
      <c r="A47" s="2">
        <f>+A46+1</f>
        <v>8</v>
      </c>
      <c r="B47" s="2" t="s">
        <v>37</v>
      </c>
    </row>
    <row r="48" spans="1:14" x14ac:dyDescent="0.25">
      <c r="A48" s="2">
        <f t="shared" ref="A48:A50" si="22">+A47+1</f>
        <v>9</v>
      </c>
      <c r="B48" s="2" t="s">
        <v>62</v>
      </c>
    </row>
    <row r="49" spans="1:2" x14ac:dyDescent="0.25">
      <c r="A49" s="2">
        <f t="shared" si="22"/>
        <v>10</v>
      </c>
      <c r="B49" s="1" t="s">
        <v>51</v>
      </c>
    </row>
    <row r="50" spans="1:2" x14ac:dyDescent="0.25">
      <c r="A50" s="2">
        <f t="shared" si="22"/>
        <v>11</v>
      </c>
      <c r="B50" s="2" t="s">
        <v>64</v>
      </c>
    </row>
    <row r="56" spans="1:2" x14ac:dyDescent="0.25">
      <c r="B56" s="2"/>
    </row>
    <row r="57" spans="1:2" x14ac:dyDescent="0.25">
      <c r="B57" s="2"/>
    </row>
    <row r="58" spans="1:2" x14ac:dyDescent="0.25">
      <c r="B58" s="2"/>
    </row>
    <row r="59" spans="1:2" x14ac:dyDescent="0.25">
      <c r="B59" s="2"/>
    </row>
  </sheetData>
  <mergeCells count="108">
    <mergeCell ref="E36:F36"/>
    <mergeCell ref="G36:H36"/>
    <mergeCell ref="I36:J36"/>
    <mergeCell ref="K36:L36"/>
    <mergeCell ref="M36:N36"/>
    <mergeCell ref="B38:N38"/>
    <mergeCell ref="E34:F34"/>
    <mergeCell ref="G34:H34"/>
    <mergeCell ref="I34:J34"/>
    <mergeCell ref="K34:L34"/>
    <mergeCell ref="M34:N34"/>
    <mergeCell ref="B35:N35"/>
    <mergeCell ref="E32:F32"/>
    <mergeCell ref="G32:H32"/>
    <mergeCell ref="I32:J32"/>
    <mergeCell ref="K32:L32"/>
    <mergeCell ref="M32:N32"/>
    <mergeCell ref="E33:F33"/>
    <mergeCell ref="G33:H33"/>
    <mergeCell ref="I33:J33"/>
    <mergeCell ref="K33:L33"/>
    <mergeCell ref="M33:N33"/>
    <mergeCell ref="E30:F30"/>
    <mergeCell ref="G30:H30"/>
    <mergeCell ref="I30:J30"/>
    <mergeCell ref="K30:L30"/>
    <mergeCell ref="M30:N30"/>
    <mergeCell ref="B31:N31"/>
    <mergeCell ref="E28:F28"/>
    <mergeCell ref="G28:H28"/>
    <mergeCell ref="I28:J28"/>
    <mergeCell ref="K28:L28"/>
    <mergeCell ref="M28:N28"/>
    <mergeCell ref="E29:F29"/>
    <mergeCell ref="G29:H29"/>
    <mergeCell ref="I29:J29"/>
    <mergeCell ref="K29:L29"/>
    <mergeCell ref="M29:N29"/>
    <mergeCell ref="E26:F26"/>
    <mergeCell ref="E27:F27"/>
    <mergeCell ref="G27:H27"/>
    <mergeCell ref="I27:J27"/>
    <mergeCell ref="K27:L27"/>
    <mergeCell ref="M27:N27"/>
    <mergeCell ref="E24:F24"/>
    <mergeCell ref="G24:H24"/>
    <mergeCell ref="I24:J24"/>
    <mergeCell ref="K24:L24"/>
    <mergeCell ref="M24:N24"/>
    <mergeCell ref="E21:F21"/>
    <mergeCell ref="G21:H21"/>
    <mergeCell ref="I21:J21"/>
    <mergeCell ref="K21:L21"/>
    <mergeCell ref="M21:N21"/>
    <mergeCell ref="E25:F25"/>
    <mergeCell ref="G25:H25"/>
    <mergeCell ref="I25:J25"/>
    <mergeCell ref="K25:L25"/>
    <mergeCell ref="B22:N22"/>
    <mergeCell ref="E23:F23"/>
    <mergeCell ref="G23:H23"/>
    <mergeCell ref="I23:J23"/>
    <mergeCell ref="K23:L23"/>
    <mergeCell ref="M23:N23"/>
    <mergeCell ref="M25:N25"/>
    <mergeCell ref="E19:F19"/>
    <mergeCell ref="G19:H19"/>
    <mergeCell ref="I19:J19"/>
    <mergeCell ref="K19:L19"/>
    <mergeCell ref="M19:N19"/>
    <mergeCell ref="E20:F20"/>
    <mergeCell ref="G20:H20"/>
    <mergeCell ref="I20:J20"/>
    <mergeCell ref="K20:L20"/>
    <mergeCell ref="M20:N20"/>
    <mergeCell ref="B17:J17"/>
    <mergeCell ref="E14:F14"/>
    <mergeCell ref="G14:H14"/>
    <mergeCell ref="I14:J14"/>
    <mergeCell ref="K14:L14"/>
    <mergeCell ref="M14:N14"/>
    <mergeCell ref="B15:N15"/>
    <mergeCell ref="E18:F18"/>
    <mergeCell ref="G18:H18"/>
    <mergeCell ref="I18:J18"/>
    <mergeCell ref="K18:L18"/>
    <mergeCell ref="M18:N18"/>
    <mergeCell ref="E13:F13"/>
    <mergeCell ref="G13:H13"/>
    <mergeCell ref="I13:J13"/>
    <mergeCell ref="K13:L13"/>
    <mergeCell ref="M13:N13"/>
    <mergeCell ref="E16:F16"/>
    <mergeCell ref="G16:H16"/>
    <mergeCell ref="I16:J16"/>
    <mergeCell ref="K16:L16"/>
    <mergeCell ref="M16:N16"/>
    <mergeCell ref="B10:D11"/>
    <mergeCell ref="E10:F10"/>
    <mergeCell ref="G10:H10"/>
    <mergeCell ref="I10:J10"/>
    <mergeCell ref="K10:L10"/>
    <mergeCell ref="M10:N10"/>
    <mergeCell ref="E12:F12"/>
    <mergeCell ref="G12:H12"/>
    <mergeCell ref="I12:J12"/>
    <mergeCell ref="K12:L12"/>
    <mergeCell ref="M12:N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vc3@vallumcapitaladvisorspvtltd.onmicrosoft.com</cp:lastModifiedBy>
  <cp:lastPrinted>2024-07-29T09:59:59Z</cp:lastPrinted>
  <dcterms:created xsi:type="dcterms:W3CDTF">2024-06-06T09:43:50Z</dcterms:created>
  <dcterms:modified xsi:type="dcterms:W3CDTF">2026-03-17T09:08:12Z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